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Май/"/>
    </mc:Choice>
  </mc:AlternateContent>
  <xr:revisionPtr revIDLastSave="0" documentId="13_ncr:1_{62AD4A16-72E6-F54E-896C-5494679C162D}" xr6:coauthVersionLast="45" xr6:coauthVersionMax="45" xr10:uidLastSave="{00000000-0000-0000-0000-000000000000}"/>
  <bookViews>
    <workbookView xWindow="480" yWindow="460" windowWidth="28320" windowHeight="16180" tabRatio="942" firstSheet="13" activeTab="18" xr2:uid="{00000000-000D-0000-FFFF-FFFF00000000}"/>
  </bookViews>
  <sheets>
    <sheet name="WRPF ПЛ без экипировки ДК" sheetId="10" r:id="rId1"/>
    <sheet name="WRPF ПЛ без экипировки" sheetId="9" r:id="rId2"/>
    <sheet name="WRPF ПЛ в бинтах ДК" sheetId="6" r:id="rId3"/>
    <sheet name="WRPF ПЛ в бинтах" sheetId="5" r:id="rId4"/>
    <sheet name="WEPF ПЛ однослой ДК" sheetId="8" r:id="rId5"/>
    <sheet name="WEPF ПЛ однослой" sheetId="7" r:id="rId6"/>
    <sheet name="WRPF Двоеборье без экип ДК" sheetId="22" r:id="rId7"/>
    <sheet name="WRPF Двоеборье без экип" sheetId="21" r:id="rId8"/>
    <sheet name="WRPF Жим лежа без экип ДК" sheetId="13" r:id="rId9"/>
    <sheet name="WRPF Жим лежа без экип" sheetId="12" r:id="rId10"/>
    <sheet name="WEPF Жим однослой ДК" sheetId="16" r:id="rId11"/>
    <sheet name="WEPF Жим софт однопетельная ДК" sheetId="14" r:id="rId12"/>
    <sheet name="WEPF Жим софт однопетельная" sheetId="11" r:id="rId13"/>
    <sheet name="WEPF Жим софт многопетельнаяДК" sheetId="18" r:id="rId14"/>
    <sheet name="WEPF Жим софт многопетельная" sheetId="17" r:id="rId15"/>
    <sheet name="WRPF Жим СФО" sheetId="47" r:id="rId16"/>
    <sheet name="WRPF Тяга без экипировки ДК" sheetId="20" r:id="rId17"/>
    <sheet name="WRPF Тяга без экипировки" sheetId="19" r:id="rId18"/>
    <sheet name="WRPF Подъем на бицепс" sheetId="46" r:id="rId19"/>
  </sheets>
  <definedNames>
    <definedName name="_FilterDatabase" localSheetId="3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3" i="47" l="1"/>
  <c r="K43" i="47"/>
  <c r="L40" i="47"/>
  <c r="K40" i="47"/>
  <c r="L39" i="47"/>
  <c r="K39" i="47"/>
  <c r="L38" i="47"/>
  <c r="K38" i="47"/>
  <c r="L37" i="47"/>
  <c r="K37" i="47"/>
  <c r="L34" i="47"/>
  <c r="K34" i="47"/>
  <c r="L31" i="47"/>
  <c r="K31" i="47"/>
  <c r="L30" i="47"/>
  <c r="K30" i="47"/>
  <c r="L27" i="47"/>
  <c r="K27" i="47"/>
  <c r="L24" i="47"/>
  <c r="K24" i="47"/>
  <c r="L21" i="47"/>
  <c r="K21" i="47"/>
  <c r="L18" i="47"/>
  <c r="K18" i="47"/>
  <c r="L15" i="47"/>
  <c r="K15" i="47"/>
  <c r="L12" i="47"/>
  <c r="K12" i="47"/>
  <c r="L9" i="47"/>
  <c r="K9" i="47"/>
  <c r="L6" i="47"/>
  <c r="K6" i="47"/>
  <c r="L86" i="46"/>
  <c r="K86" i="46"/>
  <c r="L83" i="46"/>
  <c r="K83" i="46"/>
  <c r="L82" i="46"/>
  <c r="K82" i="46"/>
  <c r="L81" i="46"/>
  <c r="K81" i="46"/>
  <c r="L80" i="46"/>
  <c r="K80" i="46"/>
  <c r="L79" i="46"/>
  <c r="K79" i="46"/>
  <c r="L76" i="46"/>
  <c r="K76" i="46"/>
  <c r="L75" i="46"/>
  <c r="K75" i="46"/>
  <c r="L74" i="46"/>
  <c r="K74" i="46"/>
  <c r="L71" i="46"/>
  <c r="K71" i="46"/>
  <c r="L70" i="46"/>
  <c r="K70" i="46"/>
  <c r="L69" i="46"/>
  <c r="K69" i="46"/>
  <c r="L68" i="46"/>
  <c r="K68" i="46"/>
  <c r="L65" i="46"/>
  <c r="K65" i="46"/>
  <c r="L64" i="46"/>
  <c r="K64" i="46"/>
  <c r="L63" i="46"/>
  <c r="K63" i="46"/>
  <c r="L62" i="46"/>
  <c r="K62" i="46"/>
  <c r="L61" i="46"/>
  <c r="K61" i="46"/>
  <c r="L60" i="46"/>
  <c r="K60" i="46"/>
  <c r="L59" i="46"/>
  <c r="K59" i="46"/>
  <c r="L58" i="46"/>
  <c r="K58" i="46"/>
  <c r="L57" i="46"/>
  <c r="K57" i="46"/>
  <c r="L54" i="46"/>
  <c r="K54" i="46"/>
  <c r="L53" i="46"/>
  <c r="K53" i="46"/>
  <c r="L52" i="46"/>
  <c r="K52" i="46"/>
  <c r="L51" i="46"/>
  <c r="K51" i="46"/>
  <c r="L50" i="46"/>
  <c r="K50" i="46"/>
  <c r="L49" i="46"/>
  <c r="K49" i="46"/>
  <c r="L46" i="46"/>
  <c r="K46" i="46"/>
  <c r="L45" i="46"/>
  <c r="K45" i="46"/>
  <c r="L44" i="46"/>
  <c r="K44" i="46"/>
  <c r="L43" i="46"/>
  <c r="K43" i="46"/>
  <c r="L42" i="46"/>
  <c r="K42" i="46"/>
  <c r="L41" i="46"/>
  <c r="K41" i="46"/>
  <c r="L40" i="46"/>
  <c r="K40" i="46"/>
  <c r="L39" i="46"/>
  <c r="K39" i="46"/>
  <c r="L38" i="46"/>
  <c r="K38" i="46"/>
  <c r="L37" i="46"/>
  <c r="K37" i="46"/>
  <c r="L34" i="46"/>
  <c r="K34" i="46"/>
  <c r="L33" i="46"/>
  <c r="K33" i="46"/>
  <c r="L32" i="46"/>
  <c r="K32" i="46"/>
  <c r="L31" i="46"/>
  <c r="K31" i="46"/>
  <c r="L28" i="46"/>
  <c r="K28" i="46"/>
  <c r="L27" i="46"/>
  <c r="K27" i="46"/>
  <c r="L26" i="46"/>
  <c r="K26" i="46"/>
  <c r="L23" i="46"/>
  <c r="K23" i="46"/>
  <c r="L20" i="46"/>
  <c r="K20" i="46"/>
  <c r="L17" i="46"/>
  <c r="K17" i="46"/>
  <c r="L16" i="46"/>
  <c r="K16" i="46"/>
  <c r="L13" i="46"/>
  <c r="K13" i="46"/>
  <c r="L10" i="46"/>
  <c r="K10" i="46"/>
  <c r="L7" i="46"/>
  <c r="K7" i="46"/>
  <c r="L6" i="46"/>
  <c r="K6" i="46"/>
  <c r="P35" i="22"/>
  <c r="O35" i="22"/>
  <c r="P32" i="22"/>
  <c r="O32" i="22"/>
  <c r="P31" i="22"/>
  <c r="O31" i="22"/>
  <c r="P28" i="22"/>
  <c r="O28" i="22"/>
  <c r="P27" i="22"/>
  <c r="O27" i="22"/>
  <c r="P26" i="22"/>
  <c r="O26" i="22"/>
  <c r="P25" i="22"/>
  <c r="O25" i="22"/>
  <c r="P24" i="22"/>
  <c r="O24" i="22"/>
  <c r="P23" i="22"/>
  <c r="O23" i="22"/>
  <c r="P22" i="22"/>
  <c r="O22" i="22"/>
  <c r="P19" i="22"/>
  <c r="O19" i="22"/>
  <c r="P16" i="22"/>
  <c r="O16" i="22"/>
  <c r="P15" i="22"/>
  <c r="O15" i="22"/>
  <c r="P12" i="22"/>
  <c r="O12" i="22"/>
  <c r="P9" i="22"/>
  <c r="O9" i="22"/>
  <c r="P6" i="22"/>
  <c r="O6" i="22"/>
  <c r="P25" i="21"/>
  <c r="O25" i="21"/>
  <c r="P22" i="21"/>
  <c r="O22" i="21"/>
  <c r="P19" i="21"/>
  <c r="O19" i="21"/>
  <c r="P18" i="21"/>
  <c r="O18" i="21"/>
  <c r="P17" i="21"/>
  <c r="O17" i="21"/>
  <c r="P14" i="21"/>
  <c r="O14" i="21"/>
  <c r="P13" i="21"/>
  <c r="O13" i="21"/>
  <c r="P12" i="21"/>
  <c r="O12" i="21"/>
  <c r="P9" i="21"/>
  <c r="O9" i="21"/>
  <c r="P6" i="21"/>
  <c r="O6" i="21"/>
  <c r="L88" i="20"/>
  <c r="L85" i="20"/>
  <c r="K85" i="20"/>
  <c r="L82" i="20"/>
  <c r="K82" i="20"/>
  <c r="L81" i="20"/>
  <c r="K81" i="20"/>
  <c r="L78" i="20"/>
  <c r="K78" i="20"/>
  <c r="L77" i="20"/>
  <c r="K77" i="20"/>
  <c r="L76" i="20"/>
  <c r="K76" i="20"/>
  <c r="L75" i="20"/>
  <c r="K75" i="20"/>
  <c r="L72" i="20"/>
  <c r="K72" i="20"/>
  <c r="L71" i="20"/>
  <c r="K71" i="20"/>
  <c r="L70" i="20"/>
  <c r="K70" i="20"/>
  <c r="L69" i="20"/>
  <c r="K69" i="20"/>
  <c r="L68" i="20"/>
  <c r="K68" i="20"/>
  <c r="L67" i="20"/>
  <c r="K67" i="20"/>
  <c r="L66" i="20"/>
  <c r="K66" i="20"/>
  <c r="L65" i="20"/>
  <c r="K65" i="20"/>
  <c r="L64" i="20"/>
  <c r="K64" i="20"/>
  <c r="L63" i="20"/>
  <c r="K63" i="20"/>
  <c r="L62" i="20"/>
  <c r="K62" i="20"/>
  <c r="L61" i="20"/>
  <c r="K61" i="20"/>
  <c r="L58" i="20"/>
  <c r="K58" i="20"/>
  <c r="L57" i="20"/>
  <c r="K57" i="20"/>
  <c r="L56" i="20"/>
  <c r="K56" i="20"/>
  <c r="L55" i="20"/>
  <c r="K55" i="20"/>
  <c r="L54" i="20"/>
  <c r="K54" i="20"/>
  <c r="L51" i="20"/>
  <c r="K51" i="20"/>
  <c r="L50" i="20"/>
  <c r="K50" i="20"/>
  <c r="L49" i="20"/>
  <c r="L48" i="20"/>
  <c r="K48" i="20"/>
  <c r="L47" i="20"/>
  <c r="K47" i="20"/>
  <c r="L44" i="20"/>
  <c r="K44" i="20"/>
  <c r="L41" i="20"/>
  <c r="K41" i="20"/>
  <c r="L38" i="20"/>
  <c r="K38" i="20"/>
  <c r="L35" i="20"/>
  <c r="K35" i="20"/>
  <c r="L32" i="20"/>
  <c r="K32" i="20"/>
  <c r="L29" i="20"/>
  <c r="K29" i="20"/>
  <c r="L26" i="20"/>
  <c r="K26" i="20"/>
  <c r="L25" i="20"/>
  <c r="K25" i="20"/>
  <c r="L24" i="20"/>
  <c r="K24" i="20"/>
  <c r="L23" i="20"/>
  <c r="K23" i="20"/>
  <c r="L20" i="20"/>
  <c r="K20" i="20"/>
  <c r="L19" i="20"/>
  <c r="K19" i="20"/>
  <c r="L16" i="20"/>
  <c r="K16" i="20"/>
  <c r="L15" i="20"/>
  <c r="K15" i="20"/>
  <c r="L14" i="20"/>
  <c r="K14" i="20"/>
  <c r="L13" i="20"/>
  <c r="K13" i="20"/>
  <c r="L12" i="20"/>
  <c r="L9" i="20"/>
  <c r="K9" i="20"/>
  <c r="L6" i="20"/>
  <c r="K6" i="20"/>
  <c r="L48" i="19"/>
  <c r="K48" i="19"/>
  <c r="L45" i="19"/>
  <c r="K45" i="19"/>
  <c r="L44" i="19"/>
  <c r="K44" i="19"/>
  <c r="L43" i="19"/>
  <c r="K43" i="19"/>
  <c r="L40" i="19"/>
  <c r="K40" i="19"/>
  <c r="L39" i="19"/>
  <c r="K39" i="19"/>
  <c r="L36" i="19"/>
  <c r="K36" i="19"/>
  <c r="L35" i="19"/>
  <c r="K35" i="19"/>
  <c r="L34" i="19"/>
  <c r="K34" i="19"/>
  <c r="L31" i="19"/>
  <c r="K31" i="19"/>
  <c r="L30" i="19"/>
  <c r="K30" i="19"/>
  <c r="L29" i="19"/>
  <c r="K29" i="19"/>
  <c r="L28" i="19"/>
  <c r="K28" i="19"/>
  <c r="L27" i="19"/>
  <c r="K27" i="19"/>
  <c r="L24" i="19"/>
  <c r="K24" i="19"/>
  <c r="L23" i="19"/>
  <c r="K23" i="19"/>
  <c r="L20" i="19"/>
  <c r="K20" i="19"/>
  <c r="L19" i="19"/>
  <c r="K19" i="19"/>
  <c r="L18" i="19"/>
  <c r="K18" i="19"/>
  <c r="L15" i="19"/>
  <c r="K15" i="19"/>
  <c r="L12" i="19"/>
  <c r="K12" i="19"/>
  <c r="L9" i="19"/>
  <c r="K9" i="19"/>
  <c r="L6" i="19"/>
  <c r="K6" i="19"/>
  <c r="L14" i="18"/>
  <c r="K14" i="18"/>
  <c r="L13" i="18"/>
  <c r="K13" i="18"/>
  <c r="L12" i="18"/>
  <c r="K12" i="18"/>
  <c r="L9" i="18"/>
  <c r="K9" i="18"/>
  <c r="L6" i="18"/>
  <c r="K6" i="18"/>
  <c r="L13" i="17"/>
  <c r="K13" i="17"/>
  <c r="L10" i="17"/>
  <c r="K10" i="17"/>
  <c r="L9" i="17"/>
  <c r="K9" i="17"/>
  <c r="L6" i="17"/>
  <c r="K6" i="17"/>
  <c r="L6" i="16"/>
  <c r="L32" i="14"/>
  <c r="K32" i="14"/>
  <c r="L29" i="14"/>
  <c r="K29" i="14"/>
  <c r="L28" i="14"/>
  <c r="K28" i="14"/>
  <c r="L25" i="14"/>
  <c r="K25" i="14"/>
  <c r="L24" i="14"/>
  <c r="K24" i="14"/>
  <c r="L21" i="14"/>
  <c r="K21" i="14"/>
  <c r="L18" i="14"/>
  <c r="L15" i="14"/>
  <c r="K15" i="14"/>
  <c r="L14" i="14"/>
  <c r="K14" i="14"/>
  <c r="L13" i="14"/>
  <c r="K13" i="14"/>
  <c r="L10" i="14"/>
  <c r="K10" i="14"/>
  <c r="L9" i="14"/>
  <c r="K9" i="14"/>
  <c r="L6" i="14"/>
  <c r="L141" i="13"/>
  <c r="K141" i="13"/>
  <c r="L140" i="13"/>
  <c r="K140" i="13"/>
  <c r="L139" i="13"/>
  <c r="K139" i="13"/>
  <c r="L136" i="13"/>
  <c r="K136" i="13"/>
  <c r="L135" i="13"/>
  <c r="K135" i="13"/>
  <c r="L134" i="13"/>
  <c r="K134" i="13"/>
  <c r="L133" i="13"/>
  <c r="K133" i="13"/>
  <c r="L130" i="13"/>
  <c r="K130" i="13"/>
  <c r="L129" i="13"/>
  <c r="K129" i="13"/>
  <c r="L128" i="13"/>
  <c r="K128" i="13"/>
  <c r="L127" i="13"/>
  <c r="K127" i="13"/>
  <c r="L126" i="13"/>
  <c r="K126" i="13"/>
  <c r="L123" i="13"/>
  <c r="K123" i="13"/>
  <c r="L122" i="13"/>
  <c r="K122" i="13"/>
  <c r="L121" i="13"/>
  <c r="K121" i="13"/>
  <c r="L120" i="13"/>
  <c r="K120" i="13"/>
  <c r="L119" i="13"/>
  <c r="K119" i="13"/>
  <c r="L118" i="13"/>
  <c r="K118" i="13"/>
  <c r="L117" i="13"/>
  <c r="K117" i="13"/>
  <c r="L116" i="13"/>
  <c r="K116" i="13"/>
  <c r="L115" i="13"/>
  <c r="K115" i="13"/>
  <c r="L114" i="13"/>
  <c r="K114" i="13"/>
  <c r="L113" i="13"/>
  <c r="K113" i="13"/>
  <c r="L112" i="13"/>
  <c r="K112" i="13"/>
  <c r="L111" i="13"/>
  <c r="K111" i="13"/>
  <c r="L108" i="13"/>
  <c r="K108" i="13"/>
  <c r="L107" i="13"/>
  <c r="L106" i="13"/>
  <c r="K106" i="13"/>
  <c r="L105" i="13"/>
  <c r="L104" i="13"/>
  <c r="K104" i="13"/>
  <c r="L103" i="13"/>
  <c r="K103" i="13"/>
  <c r="L102" i="13"/>
  <c r="K102" i="13"/>
  <c r="L101" i="13"/>
  <c r="K101" i="13"/>
  <c r="L100" i="13"/>
  <c r="K100" i="13"/>
  <c r="L99" i="13"/>
  <c r="K99" i="13"/>
  <c r="L98" i="13"/>
  <c r="K98" i="13"/>
  <c r="L97" i="13"/>
  <c r="K97" i="13"/>
  <c r="L96" i="13"/>
  <c r="K96" i="13"/>
  <c r="L95" i="13"/>
  <c r="K95" i="13"/>
  <c r="L94" i="13"/>
  <c r="K94" i="13"/>
  <c r="L93" i="13"/>
  <c r="K93" i="13"/>
  <c r="L92" i="13"/>
  <c r="K92" i="13"/>
  <c r="L91" i="13"/>
  <c r="K91" i="13"/>
  <c r="L90" i="13"/>
  <c r="K90" i="13"/>
  <c r="L89" i="13"/>
  <c r="K89" i="13"/>
  <c r="L88" i="13"/>
  <c r="K88" i="13"/>
  <c r="L87" i="13"/>
  <c r="K87" i="13"/>
  <c r="L86" i="13"/>
  <c r="K86" i="13"/>
  <c r="L85" i="13"/>
  <c r="K85" i="13"/>
  <c r="L84" i="13"/>
  <c r="K84" i="13"/>
  <c r="L81" i="13"/>
  <c r="K81" i="13"/>
  <c r="L80" i="13"/>
  <c r="K80" i="13"/>
  <c r="L79" i="13"/>
  <c r="K79" i="13"/>
  <c r="L78" i="13"/>
  <c r="K78" i="13"/>
  <c r="L77" i="13"/>
  <c r="K77" i="13"/>
  <c r="L76" i="13"/>
  <c r="K76" i="13"/>
  <c r="L75" i="13"/>
  <c r="K75" i="13"/>
  <c r="L74" i="13"/>
  <c r="K74" i="13"/>
  <c r="L73" i="13"/>
  <c r="K73" i="13"/>
  <c r="L72" i="13"/>
  <c r="K72" i="13"/>
  <c r="L71" i="13"/>
  <c r="K71" i="13"/>
  <c r="L70" i="13"/>
  <c r="K70" i="13"/>
  <c r="L67" i="13"/>
  <c r="K67" i="13"/>
  <c r="L66" i="13"/>
  <c r="K66" i="13"/>
  <c r="L65" i="13"/>
  <c r="K65" i="13"/>
  <c r="L64" i="13"/>
  <c r="K64" i="13"/>
  <c r="L63" i="13"/>
  <c r="K63" i="13"/>
  <c r="L62" i="13"/>
  <c r="K62" i="13"/>
  <c r="L61" i="13"/>
  <c r="K61" i="13"/>
  <c r="L60" i="13"/>
  <c r="K60" i="13"/>
  <c r="L59" i="13"/>
  <c r="K59" i="13"/>
  <c r="L58" i="13"/>
  <c r="K58" i="13"/>
  <c r="L57" i="13"/>
  <c r="K57" i="13"/>
  <c r="L56" i="13"/>
  <c r="K56" i="13"/>
  <c r="L53" i="13"/>
  <c r="L52" i="13"/>
  <c r="L51" i="13"/>
  <c r="L50" i="13"/>
  <c r="K50" i="13"/>
  <c r="L49" i="13"/>
  <c r="K49" i="13"/>
  <c r="L48" i="13"/>
  <c r="K48" i="13"/>
  <c r="L47" i="13"/>
  <c r="L46" i="13"/>
  <c r="K46" i="13"/>
  <c r="L45" i="13"/>
  <c r="K45" i="13"/>
  <c r="L44" i="13"/>
  <c r="K44" i="13"/>
  <c r="L43" i="13"/>
  <c r="K43" i="13"/>
  <c r="L42" i="13"/>
  <c r="K42" i="13"/>
  <c r="L41" i="13"/>
  <c r="K41" i="13"/>
  <c r="L38" i="13"/>
  <c r="L35" i="13"/>
  <c r="K35" i="13"/>
  <c r="L32" i="13"/>
  <c r="K32" i="13"/>
  <c r="L31" i="13"/>
  <c r="K31" i="13"/>
  <c r="L28" i="13"/>
  <c r="K28" i="13"/>
  <c r="L27" i="13"/>
  <c r="L26" i="13"/>
  <c r="K26" i="13"/>
  <c r="L25" i="13"/>
  <c r="K25" i="13"/>
  <c r="L24" i="13"/>
  <c r="K24" i="13"/>
  <c r="L23" i="13"/>
  <c r="K23" i="13"/>
  <c r="L20" i="13"/>
  <c r="K20" i="13"/>
  <c r="L19" i="13"/>
  <c r="L18" i="13"/>
  <c r="K18" i="13"/>
  <c r="L15" i="13"/>
  <c r="K15" i="13"/>
  <c r="L14" i="13"/>
  <c r="K14" i="13"/>
  <c r="L13" i="13"/>
  <c r="K13" i="13"/>
  <c r="L12" i="13"/>
  <c r="K12" i="13"/>
  <c r="L9" i="13"/>
  <c r="K9" i="13"/>
  <c r="L6" i="13"/>
  <c r="K6" i="13"/>
  <c r="L64" i="12"/>
  <c r="K64" i="12"/>
  <c r="L63" i="12"/>
  <c r="K63" i="12"/>
  <c r="L60" i="12"/>
  <c r="K60" i="12"/>
  <c r="L59" i="12"/>
  <c r="K59" i="12"/>
  <c r="L58" i="12"/>
  <c r="K58" i="12"/>
  <c r="L55" i="12"/>
  <c r="K55" i="12"/>
  <c r="L54" i="12"/>
  <c r="K54" i="12"/>
  <c r="L53" i="12"/>
  <c r="K53" i="12"/>
  <c r="L52" i="12"/>
  <c r="L51" i="12"/>
  <c r="K51" i="12"/>
  <c r="L50" i="12"/>
  <c r="K50" i="12"/>
  <c r="L49" i="12"/>
  <c r="K49" i="12"/>
  <c r="L48" i="12"/>
  <c r="K48" i="12"/>
  <c r="L47" i="12"/>
  <c r="K47" i="12"/>
  <c r="L46" i="12"/>
  <c r="K46" i="12"/>
  <c r="L43" i="12"/>
  <c r="K43" i="12"/>
  <c r="L42" i="12"/>
  <c r="K42" i="12"/>
  <c r="L41" i="12"/>
  <c r="K41" i="12"/>
  <c r="L40" i="12"/>
  <c r="K40" i="12"/>
  <c r="L39" i="12"/>
  <c r="K39" i="12"/>
  <c r="L38" i="12"/>
  <c r="K38" i="12"/>
  <c r="L37" i="12"/>
  <c r="K37" i="12"/>
  <c r="L36" i="12"/>
  <c r="K36" i="12"/>
  <c r="L35" i="12"/>
  <c r="K35" i="12"/>
  <c r="L34" i="12"/>
  <c r="K34" i="12"/>
  <c r="L31" i="12"/>
  <c r="L30" i="12"/>
  <c r="K30" i="12"/>
  <c r="L27" i="12"/>
  <c r="K27" i="12"/>
  <c r="L26" i="12"/>
  <c r="K26" i="12"/>
  <c r="L25" i="12"/>
  <c r="K25" i="12"/>
  <c r="L24" i="12"/>
  <c r="K24" i="12"/>
  <c r="L23" i="12"/>
  <c r="K23" i="12"/>
  <c r="L22" i="12"/>
  <c r="K22" i="12"/>
  <c r="L21" i="12"/>
  <c r="K21" i="12"/>
  <c r="L18" i="12"/>
  <c r="K18" i="12"/>
  <c r="L17" i="12"/>
  <c r="K17" i="12"/>
  <c r="L14" i="12"/>
  <c r="K14" i="12"/>
  <c r="L11" i="12"/>
  <c r="K11" i="12"/>
  <c r="L10" i="12"/>
  <c r="K10" i="12"/>
  <c r="L9" i="12"/>
  <c r="K9" i="12"/>
  <c r="L6" i="12"/>
  <c r="K6" i="12"/>
  <c r="L28" i="11"/>
  <c r="K28" i="11"/>
  <c r="L27" i="11"/>
  <c r="K27" i="11"/>
  <c r="L24" i="11"/>
  <c r="K24" i="11"/>
  <c r="L23" i="11"/>
  <c r="K23" i="11"/>
  <c r="L20" i="11"/>
  <c r="L19" i="11"/>
  <c r="L18" i="11"/>
  <c r="K18" i="11"/>
  <c r="L17" i="11"/>
  <c r="K17" i="11"/>
  <c r="L14" i="11"/>
  <c r="K14" i="11"/>
  <c r="L13" i="11"/>
  <c r="K13" i="11"/>
  <c r="L10" i="11"/>
  <c r="K10" i="11"/>
  <c r="L7" i="11"/>
  <c r="K7" i="11"/>
  <c r="L6" i="11"/>
  <c r="K6" i="11"/>
  <c r="T90" i="10"/>
  <c r="S90" i="10"/>
  <c r="T87" i="10"/>
  <c r="S87" i="10"/>
  <c r="T86" i="10"/>
  <c r="S86" i="10"/>
  <c r="T85" i="10"/>
  <c r="S85" i="10"/>
  <c r="T84" i="10"/>
  <c r="S84" i="10"/>
  <c r="T81" i="10"/>
  <c r="S81" i="10"/>
  <c r="T80" i="10"/>
  <c r="S80" i="10"/>
  <c r="T77" i="10"/>
  <c r="S77" i="10"/>
  <c r="T76" i="10"/>
  <c r="S76" i="10"/>
  <c r="T75" i="10"/>
  <c r="S75" i="10"/>
  <c r="T72" i="10"/>
  <c r="S72" i="10"/>
  <c r="T71" i="10"/>
  <c r="S71" i="10"/>
  <c r="T70" i="10"/>
  <c r="S70" i="10"/>
  <c r="T69" i="10"/>
  <c r="S69" i="10"/>
  <c r="T68" i="10"/>
  <c r="S68" i="10"/>
  <c r="T67" i="10"/>
  <c r="T66" i="10"/>
  <c r="S66" i="10"/>
  <c r="T65" i="10"/>
  <c r="T62" i="10"/>
  <c r="S62" i="10"/>
  <c r="T61" i="10"/>
  <c r="S61" i="10"/>
  <c r="T60" i="10"/>
  <c r="S60" i="10"/>
  <c r="T59" i="10"/>
  <c r="S59" i="10"/>
  <c r="T58" i="10"/>
  <c r="S58" i="10"/>
  <c r="T57" i="10"/>
  <c r="S57" i="10"/>
  <c r="T54" i="10"/>
  <c r="S54" i="10"/>
  <c r="T53" i="10"/>
  <c r="S53" i="10"/>
  <c r="T52" i="10"/>
  <c r="S52" i="10"/>
  <c r="T51" i="10"/>
  <c r="S51" i="10"/>
  <c r="T50" i="10"/>
  <c r="S50" i="10"/>
  <c r="T49" i="10"/>
  <c r="S49" i="10"/>
  <c r="T46" i="10"/>
  <c r="S46" i="10"/>
  <c r="T43" i="10"/>
  <c r="S43" i="10"/>
  <c r="T40" i="10"/>
  <c r="S40" i="10"/>
  <c r="T37" i="10"/>
  <c r="T34" i="10"/>
  <c r="T31" i="10"/>
  <c r="S31" i="10"/>
  <c r="T30" i="10"/>
  <c r="S30" i="10"/>
  <c r="T29" i="10"/>
  <c r="S29" i="10"/>
  <c r="T28" i="10"/>
  <c r="S28" i="10"/>
  <c r="T27" i="10"/>
  <c r="T26" i="10"/>
  <c r="S26" i="10"/>
  <c r="T25" i="10"/>
  <c r="S25" i="10"/>
  <c r="T22" i="10"/>
  <c r="S22" i="10"/>
  <c r="T21" i="10"/>
  <c r="S21" i="10"/>
  <c r="T20" i="10"/>
  <c r="S20" i="10"/>
  <c r="T19" i="10"/>
  <c r="S19" i="10"/>
  <c r="T18" i="10"/>
  <c r="T15" i="10"/>
  <c r="S15" i="10"/>
  <c r="T14" i="10"/>
  <c r="S14" i="10"/>
  <c r="T13" i="10"/>
  <c r="S13" i="10"/>
  <c r="T10" i="10"/>
  <c r="S10" i="10"/>
  <c r="T7" i="10"/>
  <c r="S7" i="10"/>
  <c r="T6" i="10"/>
  <c r="S6" i="10"/>
  <c r="T43" i="9"/>
  <c r="S43" i="9"/>
  <c r="T40" i="9"/>
  <c r="S40" i="9"/>
  <c r="T37" i="9"/>
  <c r="S37" i="9"/>
  <c r="T34" i="9"/>
  <c r="S34" i="9"/>
  <c r="T33" i="9"/>
  <c r="S33" i="9"/>
  <c r="T32" i="9"/>
  <c r="S32" i="9"/>
  <c r="T31" i="9"/>
  <c r="S31" i="9"/>
  <c r="T30" i="9"/>
  <c r="S30" i="9"/>
  <c r="T27" i="9"/>
  <c r="S27" i="9"/>
  <c r="T26" i="9"/>
  <c r="S26" i="9"/>
  <c r="T25" i="9"/>
  <c r="S25" i="9"/>
  <c r="T24" i="9"/>
  <c r="S24" i="9"/>
  <c r="T21" i="9"/>
  <c r="S21" i="9"/>
  <c r="T20" i="9"/>
  <c r="S20" i="9"/>
  <c r="T19" i="9"/>
  <c r="S19" i="9"/>
  <c r="T18" i="9"/>
  <c r="S18" i="9"/>
  <c r="T17" i="9"/>
  <c r="S17" i="9"/>
  <c r="T14" i="9"/>
  <c r="S14" i="9"/>
  <c r="T13" i="9"/>
  <c r="S13" i="9"/>
  <c r="T10" i="9"/>
  <c r="S10" i="9"/>
  <c r="T9" i="9"/>
  <c r="S9" i="9"/>
  <c r="T6" i="9"/>
  <c r="S6" i="9"/>
  <c r="T6" i="8"/>
  <c r="S6" i="8"/>
  <c r="T6" i="7"/>
  <c r="S6" i="7"/>
  <c r="T30" i="6"/>
  <c r="S30" i="6"/>
  <c r="T27" i="6"/>
  <c r="S27" i="6"/>
  <c r="T26" i="6"/>
  <c r="S26" i="6"/>
  <c r="T23" i="6"/>
  <c r="T22" i="6"/>
  <c r="S22" i="6"/>
  <c r="T21" i="6"/>
  <c r="S21" i="6"/>
  <c r="T20" i="6"/>
  <c r="S20" i="6"/>
  <c r="T19" i="6"/>
  <c r="S19" i="6"/>
  <c r="T16" i="6"/>
  <c r="S16" i="6"/>
  <c r="T13" i="6"/>
  <c r="S13" i="6"/>
  <c r="T12" i="6"/>
  <c r="S12" i="6"/>
  <c r="T9" i="6"/>
  <c r="S9" i="6"/>
  <c r="T6" i="6"/>
  <c r="S6" i="6"/>
  <c r="T40" i="5"/>
  <c r="S40" i="5"/>
  <c r="T39" i="5"/>
  <c r="S39" i="5"/>
  <c r="T38" i="5"/>
  <c r="S38" i="5"/>
  <c r="T35" i="5"/>
  <c r="S35" i="5"/>
  <c r="T34" i="5"/>
  <c r="S34" i="5"/>
  <c r="T33" i="5"/>
  <c r="S33" i="5"/>
  <c r="T32" i="5"/>
  <c r="S32" i="5"/>
  <c r="T29" i="5"/>
  <c r="T28" i="5"/>
  <c r="S28" i="5"/>
  <c r="T25" i="5"/>
  <c r="S25" i="5"/>
  <c r="T24" i="5"/>
  <c r="S24" i="5"/>
  <c r="T23" i="5"/>
  <c r="S23" i="5"/>
  <c r="T22" i="5"/>
  <c r="T21" i="5"/>
  <c r="S21" i="5"/>
  <c r="T18" i="5"/>
  <c r="T15" i="5"/>
  <c r="T14" i="5"/>
  <c r="S14" i="5"/>
  <c r="T13" i="5"/>
  <c r="S13" i="5"/>
  <c r="T12" i="5"/>
  <c r="S12" i="5"/>
  <c r="T9" i="5"/>
  <c r="S9" i="5"/>
  <c r="T6" i="5"/>
  <c r="S6" i="5"/>
</calcChain>
</file>

<file path=xl/sharedStrings.xml><?xml version="1.0" encoding="utf-8"?>
<sst xmlns="http://schemas.openxmlformats.org/spreadsheetml/2006/main" count="6318" uniqueCount="1632">
  <si>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</si>
  <si>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</si>
  <si>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</si>
  <si>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</si>
  <si>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</si>
  <si>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</si>
  <si>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</si>
  <si>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>Приседание</t>
  </si>
  <si>
    <t>Жим лёжа</t>
  </si>
  <si>
    <t>Становая тяга</t>
  </si>
  <si>
    <t>ВЕСОВАЯ КАТЕГОРИЯ   82.5</t>
  </si>
  <si>
    <t>Климась Ольга</t>
  </si>
  <si>
    <t>Открытая (24.09.1975)/45</t>
  </si>
  <si>
    <t>78,40</t>
  </si>
  <si>
    <t>150,0</t>
  </si>
  <si>
    <t>160,0</t>
  </si>
  <si>
    <t>65,0</t>
  </si>
  <si>
    <t>70,0</t>
  </si>
  <si>
    <t>75,0</t>
  </si>
  <si>
    <t>165,0</t>
  </si>
  <si>
    <t>180,0</t>
  </si>
  <si>
    <t>190,0</t>
  </si>
  <si>
    <t>ВЕСОВАЯ КАТЕГОРИЯ   75</t>
  </si>
  <si>
    <t>Поддубный Даниил</t>
  </si>
  <si>
    <t>Открытая (10.04.1994)/27</t>
  </si>
  <si>
    <t>74,00</t>
  </si>
  <si>
    <t>220,0</t>
  </si>
  <si>
    <t>235,0</t>
  </si>
  <si>
    <t>242,5</t>
  </si>
  <si>
    <t>155,0</t>
  </si>
  <si>
    <t>260,0</t>
  </si>
  <si>
    <t>275,0</t>
  </si>
  <si>
    <t>285,0</t>
  </si>
  <si>
    <t>Бортник Артём</t>
  </si>
  <si>
    <t>Открытая (17.07.1995)/25</t>
  </si>
  <si>
    <t>81,70</t>
  </si>
  <si>
    <t>290,0</t>
  </si>
  <si>
    <t>170,0</t>
  </si>
  <si>
    <t>182,5</t>
  </si>
  <si>
    <t>187,5</t>
  </si>
  <si>
    <t>270,0</t>
  </si>
  <si>
    <t>300,0</t>
  </si>
  <si>
    <t xml:space="preserve">Винокуров Д. </t>
  </si>
  <si>
    <t>Фомин Сергей</t>
  </si>
  <si>
    <t>Открытая (16.04.1983)/38</t>
  </si>
  <si>
    <t>81,60</t>
  </si>
  <si>
    <t>172,5</t>
  </si>
  <si>
    <t>295,0</t>
  </si>
  <si>
    <t>Новоголуб Олег</t>
  </si>
  <si>
    <t>Открытая (27.01.1995)/26</t>
  </si>
  <si>
    <t>81,50</t>
  </si>
  <si>
    <t>205,0</t>
  </si>
  <si>
    <t>215,0</t>
  </si>
  <si>
    <t>225,0</t>
  </si>
  <si>
    <t>145,0</t>
  </si>
  <si>
    <t>152,5</t>
  </si>
  <si>
    <t>230,0</t>
  </si>
  <si>
    <t>250,0</t>
  </si>
  <si>
    <t xml:space="preserve">Олейник А. </t>
  </si>
  <si>
    <t>Бурдинский Никита</t>
  </si>
  <si>
    <t>Открытая (07.10.1994)/26</t>
  </si>
  <si>
    <t>200,0</t>
  </si>
  <si>
    <t>120,0</t>
  </si>
  <si>
    <t xml:space="preserve">Римиханов И. </t>
  </si>
  <si>
    <t>ВЕСОВАЯ КАТЕГОРИЯ   90</t>
  </si>
  <si>
    <t>Катаев Ленур</t>
  </si>
  <si>
    <t>Открытая (11.10.1994)/26</t>
  </si>
  <si>
    <t>89,20</t>
  </si>
  <si>
    <t>280,0</t>
  </si>
  <si>
    <t>202,5</t>
  </si>
  <si>
    <t>ВЕСОВАЯ КАТЕГОРИЯ   100</t>
  </si>
  <si>
    <t>Федосеев Николай</t>
  </si>
  <si>
    <t>Открытая (23.02.1991)/30</t>
  </si>
  <si>
    <t>97,10</t>
  </si>
  <si>
    <t>177,5</t>
  </si>
  <si>
    <t>185,0</t>
  </si>
  <si>
    <t>310,0</t>
  </si>
  <si>
    <t xml:space="preserve">Коротков М. </t>
  </si>
  <si>
    <t>Ahmadov Ramil</t>
  </si>
  <si>
    <t>Открытая (06.05.1988)/33</t>
  </si>
  <si>
    <t>96,00</t>
  </si>
  <si>
    <t>320,0</t>
  </si>
  <si>
    <t>305,0</t>
  </si>
  <si>
    <t>330,0</t>
  </si>
  <si>
    <t xml:space="preserve">Беловал Е. </t>
  </si>
  <si>
    <t>Бурлаков Михаил</t>
  </si>
  <si>
    <t>Мастера 40-49 (19.02.1979)/42</t>
  </si>
  <si>
    <t>98,30</t>
  </si>
  <si>
    <t>Трофимов Алексей</t>
  </si>
  <si>
    <t>Мастера 40-49 (21.02.1981)/40</t>
  </si>
  <si>
    <t>99,00</t>
  </si>
  <si>
    <t>255,0</t>
  </si>
  <si>
    <t>292,5</t>
  </si>
  <si>
    <t xml:space="preserve">Суслов Н. </t>
  </si>
  <si>
    <t>Марков Анатолий</t>
  </si>
  <si>
    <t>Мастера 70-79 (13.01.1951)/70</t>
  </si>
  <si>
    <t>90,70</t>
  </si>
  <si>
    <t>130,0</t>
  </si>
  <si>
    <t>140,0</t>
  </si>
  <si>
    <t>ВЕСОВАЯ КАТЕГОРИЯ   110</t>
  </si>
  <si>
    <t>Салахетдинов Эльдар</t>
  </si>
  <si>
    <t>Юниоры (22.08.1998)/22</t>
  </si>
  <si>
    <t>106,90</t>
  </si>
  <si>
    <t>Ахлестин Сергей</t>
  </si>
  <si>
    <t>Открытая (15.09.1989)/31</t>
  </si>
  <si>
    <t>109,80</t>
  </si>
  <si>
    <t>375,0</t>
  </si>
  <si>
    <t>370,0</t>
  </si>
  <si>
    <t xml:space="preserve">Андреев В. </t>
  </si>
  <si>
    <t>ВЕСОВАЯ КАТЕГОРИЯ   125</t>
  </si>
  <si>
    <t>Трдатьян Левон</t>
  </si>
  <si>
    <t>Открытая (28.11.1980)/40</t>
  </si>
  <si>
    <t>123,80</t>
  </si>
  <si>
    <t>350,0</t>
  </si>
  <si>
    <t>192,5</t>
  </si>
  <si>
    <t>197,5</t>
  </si>
  <si>
    <t>315,0</t>
  </si>
  <si>
    <t>342,5</t>
  </si>
  <si>
    <t>Новиков Иван</t>
  </si>
  <si>
    <t>Открытая (23.05.1996)/24</t>
  </si>
  <si>
    <t>119,80</t>
  </si>
  <si>
    <t>265,0</t>
  </si>
  <si>
    <t>340,0</t>
  </si>
  <si>
    <t xml:space="preserve">Насонов Д. </t>
  </si>
  <si>
    <t>Воробьев Роман</t>
  </si>
  <si>
    <t>Открытая (23.09.1984)/36</t>
  </si>
  <si>
    <t>120,90</t>
  </si>
  <si>
    <t>210,0</t>
  </si>
  <si>
    <t xml:space="preserve">Клюшев А. </t>
  </si>
  <si>
    <t>Кожевников Александр</t>
  </si>
  <si>
    <t>Открытая (03.09.1992)/28</t>
  </si>
  <si>
    <t>120,00</t>
  </si>
  <si>
    <t>ВЕСОВАЯ КАТЕГОРИЯ   140</t>
  </si>
  <si>
    <t>Осокин Илья</t>
  </si>
  <si>
    <t>Открытая (21.04.1992)/29</t>
  </si>
  <si>
    <t>135,10</t>
  </si>
  <si>
    <t>Штоколов Денис</t>
  </si>
  <si>
    <t>Открытая (13.05.1979)/41</t>
  </si>
  <si>
    <t>137,30</t>
  </si>
  <si>
    <t>175,0</t>
  </si>
  <si>
    <t>Мастера 40-49 (13.05.1979)/41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</si>
  <si>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</si>
  <si>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</si>
  <si>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</si>
  <si>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</si>
  <si>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</si>
  <si>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</si>
  <si>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</si>
  <si>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</si>
  <si>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82.5</t>
  </si>
  <si>
    <t xml:space="preserve">Мужчины </t>
  </si>
  <si>
    <t xml:space="preserve">Юниоры </t>
  </si>
  <si>
    <t>110</t>
  </si>
  <si>
    <t>752,5</t>
  </si>
  <si>
    <t>507,1098</t>
  </si>
  <si>
    <t>125</t>
  </si>
  <si>
    <t>885,0</t>
  </si>
  <si>
    <t>505,3350</t>
  </si>
  <si>
    <t>75</t>
  </si>
  <si>
    <t>682,5</t>
  </si>
  <si>
    <t>490,9222</t>
  </si>
  <si>
    <t xml:space="preserve">Мастера </t>
  </si>
  <si>
    <t xml:space="preserve">Мастера 70-79 </t>
  </si>
  <si>
    <t>100</t>
  </si>
  <si>
    <t xml:space="preserve">Мастера 40-49 </t>
  </si>
  <si>
    <t>1</t>
  </si>
  <si>
    <t/>
  </si>
  <si>
    <t>2</t>
  </si>
  <si>
    <t>3</t>
  </si>
  <si>
    <t>-</t>
  </si>
  <si>
    <t>4</t>
  </si>
  <si>
    <t>ВЕСОВАЯ КАТЕГОРИЯ   56</t>
  </si>
  <si>
    <t>Павлюкович Ольга</t>
  </si>
  <si>
    <t>Открытая (25.12.1985)/35</t>
  </si>
  <si>
    <t>54,20</t>
  </si>
  <si>
    <t>60,0</t>
  </si>
  <si>
    <t>32,5</t>
  </si>
  <si>
    <t>37,5</t>
  </si>
  <si>
    <t>40,0</t>
  </si>
  <si>
    <t>80,0</t>
  </si>
  <si>
    <t>87,5</t>
  </si>
  <si>
    <t>90,0</t>
  </si>
  <si>
    <t xml:space="preserve">Дременков К. </t>
  </si>
  <si>
    <t>ВЕСОВАЯ КАТЕГОРИЯ   60</t>
  </si>
  <si>
    <t>Юниорки (28.01.1998)/23</t>
  </si>
  <si>
    <t>60,00</t>
  </si>
  <si>
    <t>110,0</t>
  </si>
  <si>
    <t>125,0</t>
  </si>
  <si>
    <t>55,0</t>
  </si>
  <si>
    <t>141,0</t>
  </si>
  <si>
    <t xml:space="preserve">Луговой А. </t>
  </si>
  <si>
    <t>ВЕСОВАЯ КАТЕГОРИЯ   67.5</t>
  </si>
  <si>
    <t>Савицкий Егор</t>
  </si>
  <si>
    <t>Юноши 17-19 (13.09.2003)/17</t>
  </si>
  <si>
    <t>66,20</t>
  </si>
  <si>
    <t>Рек Александр</t>
  </si>
  <si>
    <t>Открытая (13.07.1987)/33</t>
  </si>
  <si>
    <t>66,70</t>
  </si>
  <si>
    <t>237,5</t>
  </si>
  <si>
    <t>117,5</t>
  </si>
  <si>
    <t>122,5</t>
  </si>
  <si>
    <t>207,5</t>
  </si>
  <si>
    <t>Юршин Евгений</t>
  </si>
  <si>
    <t>Открытая (01.05.1989)/32</t>
  </si>
  <si>
    <t>137,5</t>
  </si>
  <si>
    <t>217,5</t>
  </si>
  <si>
    <t>227,5</t>
  </si>
  <si>
    <t xml:space="preserve">Смирнов Д. </t>
  </si>
  <si>
    <t>Дременков Константин</t>
  </si>
  <si>
    <t>Открытая (21.07.1966)/54</t>
  </si>
  <si>
    <t>85,40</t>
  </si>
  <si>
    <t>Рощупкин Андрей</t>
  </si>
  <si>
    <t>Открытая (17.07.1994)/26</t>
  </si>
  <si>
    <t>89,10</t>
  </si>
  <si>
    <t>240,0</t>
  </si>
  <si>
    <t>245,0</t>
  </si>
  <si>
    <t>147,5</t>
  </si>
  <si>
    <t>Проскурин Дмитрий</t>
  </si>
  <si>
    <t>Открытая (24.06.1994)/26</t>
  </si>
  <si>
    <t>87,90</t>
  </si>
  <si>
    <t>100,0</t>
  </si>
  <si>
    <t xml:space="preserve">Белянин Э. </t>
  </si>
  <si>
    <t>Мастера 50-59 (21.07.1966)/54</t>
  </si>
  <si>
    <t>Петухов Михаил</t>
  </si>
  <si>
    <t>Мастера 50-59 (28.05.1967)/53</t>
  </si>
  <si>
    <t>89,80</t>
  </si>
  <si>
    <t>Семенов Виктор</t>
  </si>
  <si>
    <t>Юниоры (13.01.1999)/22</t>
  </si>
  <si>
    <t>96,20</t>
  </si>
  <si>
    <t>105,0</t>
  </si>
  <si>
    <t xml:space="preserve">Циванюк А. </t>
  </si>
  <si>
    <t>Николаев Андрей</t>
  </si>
  <si>
    <t>Мастера 40-49 (19.03.1977)/44</t>
  </si>
  <si>
    <t>98,50</t>
  </si>
  <si>
    <t>132,5</t>
  </si>
  <si>
    <t>Кулагин Дмитрий</t>
  </si>
  <si>
    <t>Открытая (07.06.1989)/31</t>
  </si>
  <si>
    <t>106,00</t>
  </si>
  <si>
    <t>167,5</t>
  </si>
  <si>
    <t>60</t>
  </si>
  <si>
    <t>56</t>
  </si>
  <si>
    <t xml:space="preserve">Юноши </t>
  </si>
  <si>
    <t xml:space="preserve">Юноши 17-19 </t>
  </si>
  <si>
    <t>67.5</t>
  </si>
  <si>
    <t>90</t>
  </si>
  <si>
    <t xml:space="preserve">Мастера 50-59 </t>
  </si>
  <si>
    <t>Зотин Михаил</t>
  </si>
  <si>
    <t>Открытая (24.03.1997)/24</t>
  </si>
  <si>
    <t>Белоус Елизавета</t>
  </si>
  <si>
    <t>Открытая (18.09.1982)/38</t>
  </si>
  <si>
    <t>59,60</t>
  </si>
  <si>
    <t>142,5</t>
  </si>
  <si>
    <t>85,0</t>
  </si>
  <si>
    <t>157,5</t>
  </si>
  <si>
    <t xml:space="preserve">Зотин М. </t>
  </si>
  <si>
    <t>Антонова Юлия</t>
  </si>
  <si>
    <t>Открытая (01.02.1980)/41</t>
  </si>
  <si>
    <t>61,30</t>
  </si>
  <si>
    <t>97,5</t>
  </si>
  <si>
    <t>102,5</t>
  </si>
  <si>
    <t xml:space="preserve">Анненков Э. </t>
  </si>
  <si>
    <t>Гаджиахмедов Далгат</t>
  </si>
  <si>
    <t>Открытая (18.06.1987)/33</t>
  </si>
  <si>
    <t>75,00</t>
  </si>
  <si>
    <t xml:space="preserve"> </t>
  </si>
  <si>
    <t>195,0</t>
  </si>
  <si>
    <t>135,0</t>
  </si>
  <si>
    <t xml:space="preserve">Тимофеев Д. </t>
  </si>
  <si>
    <t>Комаров Антон</t>
  </si>
  <si>
    <t>Открытая (26.11.1990)/30</t>
  </si>
  <si>
    <t>74,90</t>
  </si>
  <si>
    <t>127,5</t>
  </si>
  <si>
    <t>212,5</t>
  </si>
  <si>
    <t>Спиридонов Степан</t>
  </si>
  <si>
    <t>Открытая (21.12.1993)/27</t>
  </si>
  <si>
    <t>80,80</t>
  </si>
  <si>
    <t xml:space="preserve">Румянцев С. </t>
  </si>
  <si>
    <t>Легошин Дмитрий</t>
  </si>
  <si>
    <t>Открытая (15.09.1990)/30</t>
  </si>
  <si>
    <t>79,70</t>
  </si>
  <si>
    <t xml:space="preserve">Барашков Н. </t>
  </si>
  <si>
    <t>Ковалевский Георгий</t>
  </si>
  <si>
    <t>Юниоры (28.10.1997)/23</t>
  </si>
  <si>
    <t>90,00</t>
  </si>
  <si>
    <t xml:space="preserve">Парджиани А. </t>
  </si>
  <si>
    <t>Лукьянов Сергей</t>
  </si>
  <si>
    <t>Открытая (02.06.1986)/34</t>
  </si>
  <si>
    <t>86,90</t>
  </si>
  <si>
    <t>Открытая (28.10.1997)/23</t>
  </si>
  <si>
    <t>Попов Дмитрий</t>
  </si>
  <si>
    <t>Открытая (21.07.1989)/31</t>
  </si>
  <si>
    <t>86,00</t>
  </si>
  <si>
    <t>Оганнисян Хачатур</t>
  </si>
  <si>
    <t>Мастера 40-49 (14.09.1974)/46</t>
  </si>
  <si>
    <t>88,80</t>
  </si>
  <si>
    <t>Левкин Владимир</t>
  </si>
  <si>
    <t>Юниоры (26.10.1998)/22</t>
  </si>
  <si>
    <t>99,80</t>
  </si>
  <si>
    <t>Басаргин Андрей</t>
  </si>
  <si>
    <t>Открытая (21.07.1998)/22</t>
  </si>
  <si>
    <t>97,40</t>
  </si>
  <si>
    <t>297,5</t>
  </si>
  <si>
    <t>Сичинава Давид</t>
  </si>
  <si>
    <t>Открытая (18.09.1991)/29</t>
  </si>
  <si>
    <t>99,30</t>
  </si>
  <si>
    <t>Яруков Станислав</t>
  </si>
  <si>
    <t>Открытая (12.07.1990)/30</t>
  </si>
  <si>
    <t>96,70</t>
  </si>
  <si>
    <t>307,5</t>
  </si>
  <si>
    <t>Коваленко Кирилл</t>
  </si>
  <si>
    <t>Открытая (11.05.1992)/28</t>
  </si>
  <si>
    <t>109,10</t>
  </si>
  <si>
    <t>360,0</t>
  </si>
  <si>
    <t>Сазонов Павел</t>
  </si>
  <si>
    <t>Открытая (08.06.1986)/34</t>
  </si>
  <si>
    <t>106,50</t>
  </si>
  <si>
    <t>Горбенко Виктор</t>
  </si>
  <si>
    <t>Открытая (12.07.1989)/31</t>
  </si>
  <si>
    <t>107,50</t>
  </si>
  <si>
    <t>Якименко Владимир</t>
  </si>
  <si>
    <t>Открытая (07.06.1977)/43</t>
  </si>
  <si>
    <t>104,30</t>
  </si>
  <si>
    <t>Мастера 40-49 (07.06.1977)/43</t>
  </si>
  <si>
    <t>Пысь Дмитрий</t>
  </si>
  <si>
    <t>Открытая (04.05.1986)/35</t>
  </si>
  <si>
    <t>125,00</t>
  </si>
  <si>
    <t>380,0</t>
  </si>
  <si>
    <t>Голубев Егор</t>
  </si>
  <si>
    <t>Мастера 40-49 (23.08.1974)/46</t>
  </si>
  <si>
    <t>139,40</t>
  </si>
  <si>
    <t>ВЕСОВАЯ КАТЕГОРИЯ   140+</t>
  </si>
  <si>
    <t>Пирогов Александр</t>
  </si>
  <si>
    <t>Открытая (16.09.1984)/36</t>
  </si>
  <si>
    <t>153,60</t>
  </si>
  <si>
    <t>385,0</t>
  </si>
  <si>
    <t>950,0</t>
  </si>
  <si>
    <t>541,3100</t>
  </si>
  <si>
    <t>140+</t>
  </si>
  <si>
    <t>960,0</t>
  </si>
  <si>
    <t>529,3440</t>
  </si>
  <si>
    <t>860,0</t>
  </si>
  <si>
    <t>507,4000</t>
  </si>
  <si>
    <t>ВЕСОВАЯ КАТЕГОРИЯ   48</t>
  </si>
  <si>
    <t>Горина Екатерина</t>
  </si>
  <si>
    <t>Девушки 17-19 (06.08.2001)/19</t>
  </si>
  <si>
    <t>44,70</t>
  </si>
  <si>
    <t>92,5</t>
  </si>
  <si>
    <t>95,0</t>
  </si>
  <si>
    <t>42,5</t>
  </si>
  <si>
    <t>45,0</t>
  </si>
  <si>
    <t xml:space="preserve">Агапов Д. </t>
  </si>
  <si>
    <t>Ивахненко Елена</t>
  </si>
  <si>
    <t>Открытая (01.10.1986)/34</t>
  </si>
  <si>
    <t>47,40</t>
  </si>
  <si>
    <t>47,5</t>
  </si>
  <si>
    <t xml:space="preserve">Качан С. </t>
  </si>
  <si>
    <t>ВЕСОВАЯ КАТЕГОРИЯ   52</t>
  </si>
  <si>
    <t>Клюбченко Алла</t>
  </si>
  <si>
    <t>Открытая (27.11.1983)/37</t>
  </si>
  <si>
    <t>51,40</t>
  </si>
  <si>
    <t>25,0</t>
  </si>
  <si>
    <t>35,0</t>
  </si>
  <si>
    <t xml:space="preserve">Салахетдинов Э. </t>
  </si>
  <si>
    <t>Камышникова Марина</t>
  </si>
  <si>
    <t>Открытая (16.02.1979)/42</t>
  </si>
  <si>
    <t>56,00</t>
  </si>
  <si>
    <t>50,0</t>
  </si>
  <si>
    <t>115,0</t>
  </si>
  <si>
    <t>Ярмоленко Ирина</t>
  </si>
  <si>
    <t>Открытая (10.06.1985)/35</t>
  </si>
  <si>
    <t>55,30</t>
  </si>
  <si>
    <t>72,5</t>
  </si>
  <si>
    <t>77,5</t>
  </si>
  <si>
    <t xml:space="preserve">Парфенов А. </t>
  </si>
  <si>
    <t>Мастера 40-49 (16.02.1979)/42</t>
  </si>
  <si>
    <t>Дубинина Анастасия</t>
  </si>
  <si>
    <t>Девушки 14-16 (13.10.2004)/16</t>
  </si>
  <si>
    <t>58,20</t>
  </si>
  <si>
    <t>Качан Ярослава</t>
  </si>
  <si>
    <t>Открытая (03.03.1990)/31</t>
  </si>
  <si>
    <t>Лиховод Елизавета</t>
  </si>
  <si>
    <t>Открытая (21.08.1994)/26</t>
  </si>
  <si>
    <t>59,50</t>
  </si>
  <si>
    <t>Чабан Екатерина</t>
  </si>
  <si>
    <t>Открытая (06.04.1996)/25</t>
  </si>
  <si>
    <t>59,90</t>
  </si>
  <si>
    <t>57,5</t>
  </si>
  <si>
    <t xml:space="preserve">Кудряшов М. </t>
  </si>
  <si>
    <t>Тюрина Ирина</t>
  </si>
  <si>
    <t>Открытая (01.06.1989)/31</t>
  </si>
  <si>
    <t>59,30</t>
  </si>
  <si>
    <t>112,5</t>
  </si>
  <si>
    <t>Смирнова Лада</t>
  </si>
  <si>
    <t>Девушки 14-16 (23.11.2004)/16</t>
  </si>
  <si>
    <t>65,30</t>
  </si>
  <si>
    <t>107,5</t>
  </si>
  <si>
    <t>62,5</t>
  </si>
  <si>
    <t>Афанасьева Ангелина</t>
  </si>
  <si>
    <t>Юниорки (19.11.2000)/20</t>
  </si>
  <si>
    <t>67,50</t>
  </si>
  <si>
    <t xml:space="preserve">Борисов А. </t>
  </si>
  <si>
    <t>Хрулева Евгения</t>
  </si>
  <si>
    <t>Юниорки (28.04.1998)/23</t>
  </si>
  <si>
    <t>63,10</t>
  </si>
  <si>
    <t xml:space="preserve">Лукьянов С. </t>
  </si>
  <si>
    <t>Семыкина Дарья</t>
  </si>
  <si>
    <t>Открытая (03.03.2001)/20</t>
  </si>
  <si>
    <t>67,20</t>
  </si>
  <si>
    <t xml:space="preserve">Румянцев С.с. </t>
  </si>
  <si>
    <t>Трофимчук Ирина</t>
  </si>
  <si>
    <t>Открытая (15.03.1988)/33</t>
  </si>
  <si>
    <t>64,40</t>
  </si>
  <si>
    <t>Мячина Алина</t>
  </si>
  <si>
    <t>Открытая (22.03.1997)/24</t>
  </si>
  <si>
    <t>66,00</t>
  </si>
  <si>
    <t xml:space="preserve">Курдюков С. </t>
  </si>
  <si>
    <t>Ершова Светлана</t>
  </si>
  <si>
    <t>Мастера 40-49 (15.01.1980)/41</t>
  </si>
  <si>
    <t>Дулова Дарья</t>
  </si>
  <si>
    <t>Открытая (26.03.1993)/28</t>
  </si>
  <si>
    <t>85,70</t>
  </si>
  <si>
    <t>ВЕСОВАЯ КАТЕГОРИЯ   90+</t>
  </si>
  <si>
    <t>Кузнецова Мария</t>
  </si>
  <si>
    <t>Открытая (17.06.1993)/27</t>
  </si>
  <si>
    <t>108,90</t>
  </si>
  <si>
    <t xml:space="preserve">Першин В. </t>
  </si>
  <si>
    <t>Лагерев Даниил</t>
  </si>
  <si>
    <t>Юноши 14-16 (15.09.2009)/11</t>
  </si>
  <si>
    <t>51,50</t>
  </si>
  <si>
    <t xml:space="preserve">Харитонов С. </t>
  </si>
  <si>
    <t>Асланов Михаил</t>
  </si>
  <si>
    <t>Юноши 14-16 (11.05.2004)/16</t>
  </si>
  <si>
    <t>67,5</t>
  </si>
  <si>
    <t xml:space="preserve">Гаджиахмедов Д. </t>
  </si>
  <si>
    <t>Гусельников Данила</t>
  </si>
  <si>
    <t>Юноши 14-16 (25.07.2005)/15</t>
  </si>
  <si>
    <t>Овсянников Денис</t>
  </si>
  <si>
    <t>Юниоры (27.10.1998)/22</t>
  </si>
  <si>
    <t>Королев Антон</t>
  </si>
  <si>
    <t>Юниоры (28.09.2000)/20</t>
  </si>
  <si>
    <t>73,70</t>
  </si>
  <si>
    <t>Мурадов Владислав</t>
  </si>
  <si>
    <t>Юниоры (30.10.1999)/21</t>
  </si>
  <si>
    <t>71,90</t>
  </si>
  <si>
    <t>Кожедуб Андрей</t>
  </si>
  <si>
    <t>Открытая (19.12.1993)/27</t>
  </si>
  <si>
    <t>247,5</t>
  </si>
  <si>
    <t>252,5</t>
  </si>
  <si>
    <t>Доберчук Владимир</t>
  </si>
  <si>
    <t>Открытая (30.08.1979)/41</t>
  </si>
  <si>
    <t>Колотушкин Евгений</t>
  </si>
  <si>
    <t>Открытая (25.11.1982)/38</t>
  </si>
  <si>
    <t>74,20</t>
  </si>
  <si>
    <t>Гимранов Дмитрий</t>
  </si>
  <si>
    <t>Юноши 17-19 (06.06.2001)/19</t>
  </si>
  <si>
    <t>80,00</t>
  </si>
  <si>
    <t xml:space="preserve">Иванов В. </t>
  </si>
  <si>
    <t>Городничев Артём</t>
  </si>
  <si>
    <t>Юноши 17-19 (04.01.2004)/17</t>
  </si>
  <si>
    <t>79,30</t>
  </si>
  <si>
    <t xml:space="preserve">Туляков Н. </t>
  </si>
  <si>
    <t>Елсаков Константин</t>
  </si>
  <si>
    <t>Открытая (26.05.1990)/30</t>
  </si>
  <si>
    <t>82,50</t>
  </si>
  <si>
    <t>232,5</t>
  </si>
  <si>
    <t>262,5</t>
  </si>
  <si>
    <t>Плескач Дмитрий</t>
  </si>
  <si>
    <t>Открытая (31.07.1988)/32</t>
  </si>
  <si>
    <t>76,40</t>
  </si>
  <si>
    <t>222,5</t>
  </si>
  <si>
    <t>Юдин Григорий</t>
  </si>
  <si>
    <t>Открытая (06.06.1985)/35</t>
  </si>
  <si>
    <t>81,80</t>
  </si>
  <si>
    <t>Денисов Сергей</t>
  </si>
  <si>
    <t>Открытая (15.09.1991)/29</t>
  </si>
  <si>
    <t>Фролов Ярослав</t>
  </si>
  <si>
    <t>Юноши 14-16 (17.12.2004)/16</t>
  </si>
  <si>
    <t>Huseynov Mahammad</t>
  </si>
  <si>
    <t>Юноши 17-19 (25.05.2002)/18</t>
  </si>
  <si>
    <t>85,80</t>
  </si>
  <si>
    <t>Гагнидзе Георгий</t>
  </si>
  <si>
    <t>Юноши 17-19 (23.10.2002)/18</t>
  </si>
  <si>
    <t xml:space="preserve">Самойлов М. </t>
  </si>
  <si>
    <t>Пашков Игорь</t>
  </si>
  <si>
    <t>Открытая (10.06.1986)/34</t>
  </si>
  <si>
    <t>Воробьев Николай</t>
  </si>
  <si>
    <t>Открытая (07.08.1984)/36</t>
  </si>
  <si>
    <t>Архипов Александр</t>
  </si>
  <si>
    <t>Открытая (18.11.1992)/28</t>
  </si>
  <si>
    <t>88,30</t>
  </si>
  <si>
    <t>Сукиасян Тигран</t>
  </si>
  <si>
    <t>Открытая (22.12.1987)/33</t>
  </si>
  <si>
    <t>Стрешный Иван</t>
  </si>
  <si>
    <t>Открытая (01.06.1984)/36</t>
  </si>
  <si>
    <t>88,70</t>
  </si>
  <si>
    <t>Сосновский Никита</t>
  </si>
  <si>
    <t>Открытая (15.12.1987)/33</t>
  </si>
  <si>
    <t>96,50</t>
  </si>
  <si>
    <t xml:space="preserve">Нурутдинов М. </t>
  </si>
  <si>
    <t>Силаев Владислав</t>
  </si>
  <si>
    <t>Открытая (24.04.1995)/26</t>
  </si>
  <si>
    <t>94,20</t>
  </si>
  <si>
    <t>Зуев Алексей</t>
  </si>
  <si>
    <t>Мастера 40-49 (16.04.1980)/41</t>
  </si>
  <si>
    <t>92,30</t>
  </si>
  <si>
    <t>Павловский Дмитрий</t>
  </si>
  <si>
    <t>Открытая (01.02.1988)/33</t>
  </si>
  <si>
    <t>107,10</t>
  </si>
  <si>
    <t xml:space="preserve">Сенькин В. </t>
  </si>
  <si>
    <t>Мулихов Александр</t>
  </si>
  <si>
    <t>Открытая (12.08.1988)/32</t>
  </si>
  <si>
    <t>107,70</t>
  </si>
  <si>
    <t>Корзинкин Вадим</t>
  </si>
  <si>
    <t>Открытая (26.03.1983)/38</t>
  </si>
  <si>
    <t>123,50</t>
  </si>
  <si>
    <t>Маркин Николай</t>
  </si>
  <si>
    <t>Открытая (14.03.1981)/40</t>
  </si>
  <si>
    <t>111,90</t>
  </si>
  <si>
    <t xml:space="preserve">Лазарев В. </t>
  </si>
  <si>
    <t>Боровой Евгений</t>
  </si>
  <si>
    <t>Открытая (25.03.1978)/43</t>
  </si>
  <si>
    <t>118,10</t>
  </si>
  <si>
    <t xml:space="preserve">Пресняков В. </t>
  </si>
  <si>
    <t>Мастера 40-49 (25.03.1978)/43</t>
  </si>
  <si>
    <t>Павлюков Александр</t>
  </si>
  <si>
    <t>Юниоры (22.03.2000)/21</t>
  </si>
  <si>
    <t>171,50</t>
  </si>
  <si>
    <t xml:space="preserve">Юноши 14-16 </t>
  </si>
  <si>
    <t>302,5</t>
  </si>
  <si>
    <t>345,0</t>
  </si>
  <si>
    <t>384,6405</t>
  </si>
  <si>
    <t>332,5</t>
  </si>
  <si>
    <t>351,2530</t>
  </si>
  <si>
    <t>337,5</t>
  </si>
  <si>
    <t>345,5663</t>
  </si>
  <si>
    <t>287,5</t>
  </si>
  <si>
    <t>420,0</t>
  </si>
  <si>
    <t>610,0</t>
  </si>
  <si>
    <t>429,1960</t>
  </si>
  <si>
    <t>635,0</t>
  </si>
  <si>
    <t>425,3865</t>
  </si>
  <si>
    <t>415,2900</t>
  </si>
  <si>
    <t>5</t>
  </si>
  <si>
    <t>Батыев Дмитрий</t>
  </si>
  <si>
    <t>Открытая (27.09.1988)/32</t>
  </si>
  <si>
    <t>74,80</t>
  </si>
  <si>
    <t>Якупов Радмир</t>
  </si>
  <si>
    <t>Открытая (18.04.1993)/28</t>
  </si>
  <si>
    <t>Силушин Павел</t>
  </si>
  <si>
    <t>Открытая (17.09.1989)/31</t>
  </si>
  <si>
    <t>81,40</t>
  </si>
  <si>
    <t xml:space="preserve">Силушин А. </t>
  </si>
  <si>
    <t>Суший Илья</t>
  </si>
  <si>
    <t>Открытая (20.08.1984)/36</t>
  </si>
  <si>
    <t>83,70</t>
  </si>
  <si>
    <t>Шейкин Алексей</t>
  </si>
  <si>
    <t>Открытая (24.03.1988)/33</t>
  </si>
  <si>
    <t>89,00</t>
  </si>
  <si>
    <t>Семенов Роман</t>
  </si>
  <si>
    <t>Открытая (12.11.1979)/41</t>
  </si>
  <si>
    <t>97,70</t>
  </si>
  <si>
    <t>Акулич Александр</t>
  </si>
  <si>
    <t>Открытая (17.11.1981)/39</t>
  </si>
  <si>
    <t>91,40</t>
  </si>
  <si>
    <t>Боев Виталий</t>
  </si>
  <si>
    <t>Открытая (27.06.1984)/36</t>
  </si>
  <si>
    <t>97,20</t>
  </si>
  <si>
    <t>Бравков Александр</t>
  </si>
  <si>
    <t>Открытая (29.05.1993)/27</t>
  </si>
  <si>
    <t>97,50</t>
  </si>
  <si>
    <t>Леонов Павел</t>
  </si>
  <si>
    <t>Открытая (08.11.1983)/37</t>
  </si>
  <si>
    <t>103,30</t>
  </si>
  <si>
    <t>Плотников Алексей</t>
  </si>
  <si>
    <t>Мастера 40-49 (16.06.1975)/45</t>
  </si>
  <si>
    <t>108,40</t>
  </si>
  <si>
    <t>Емельянов Николай</t>
  </si>
  <si>
    <t>119,00</t>
  </si>
  <si>
    <t xml:space="preserve">Каштанов С. </t>
  </si>
  <si>
    <t>Архипов Владимир</t>
  </si>
  <si>
    <t>Мастера 70-79 (26.09.1942)/78</t>
  </si>
  <si>
    <t>111,00</t>
  </si>
  <si>
    <t xml:space="preserve">Результат </t>
  </si>
  <si>
    <t xml:space="preserve">Gloss </t>
  </si>
  <si>
    <t>182,1600</t>
  </si>
  <si>
    <t>172,2000</t>
  </si>
  <si>
    <t>170,2735</t>
  </si>
  <si>
    <t>Результат</t>
  </si>
  <si>
    <t>Глазкова Марина</t>
  </si>
  <si>
    <t>Мастера 40-49 (08.02.1980)/41</t>
  </si>
  <si>
    <t xml:space="preserve">Пысь Д. </t>
  </si>
  <si>
    <t>Максимчук Ольга</t>
  </si>
  <si>
    <t>Юниорки (05.07.1997)/23</t>
  </si>
  <si>
    <t>58,30</t>
  </si>
  <si>
    <t>Коновалова Наталья</t>
  </si>
  <si>
    <t>Открытая (14.09.1988)/32</t>
  </si>
  <si>
    <t xml:space="preserve">Коновалов С. </t>
  </si>
  <si>
    <t>Жигаленко Ирина</t>
  </si>
  <si>
    <t>59,10</t>
  </si>
  <si>
    <t>Румянцева Светлана</t>
  </si>
  <si>
    <t>Открытая (16.05.1988)/32</t>
  </si>
  <si>
    <t>67,30</t>
  </si>
  <si>
    <t>Сычёв Сергей</t>
  </si>
  <si>
    <t>Открытая (18.07.1978)/42</t>
  </si>
  <si>
    <t>74,50</t>
  </si>
  <si>
    <t>Мастера 40-49 (18.07.1978)/42</t>
  </si>
  <si>
    <t>Киселев Кирилл</t>
  </si>
  <si>
    <t>Юниоры (29.05.1999)/21</t>
  </si>
  <si>
    <t>82,00</t>
  </si>
  <si>
    <t xml:space="preserve">Киселев В. </t>
  </si>
  <si>
    <t>Распопов Юрий</t>
  </si>
  <si>
    <t>Открытая (16.12.1992)/28</t>
  </si>
  <si>
    <t>Панфилов Максим</t>
  </si>
  <si>
    <t>Открытая (24.01.1992)/29</t>
  </si>
  <si>
    <t>82,40</t>
  </si>
  <si>
    <t>Шахбазян Давид</t>
  </si>
  <si>
    <t>Открытая (30.08.1994)/26</t>
  </si>
  <si>
    <t xml:space="preserve">Андреев Т. </t>
  </si>
  <si>
    <t>Благов Александр</t>
  </si>
  <si>
    <t>Открытая (01.12.1992)/28</t>
  </si>
  <si>
    <t>80,60</t>
  </si>
  <si>
    <t>Тимохин Павел</t>
  </si>
  <si>
    <t>Мастера 40-49 (06.03.1981)/40</t>
  </si>
  <si>
    <t>Юханов Игорь</t>
  </si>
  <si>
    <t>Мастера 50-59 (16.09.1968)/52</t>
  </si>
  <si>
    <t>Новоселов Александр</t>
  </si>
  <si>
    <t>Открытая (05.12.1987)/33</t>
  </si>
  <si>
    <t>87,00</t>
  </si>
  <si>
    <t xml:space="preserve">Леонов П. </t>
  </si>
  <si>
    <t>Таушунаев Эдуард</t>
  </si>
  <si>
    <t>Мастера 50-59 (16.05.1966)/54</t>
  </si>
  <si>
    <t>89,50</t>
  </si>
  <si>
    <t>Пыткин Максим</t>
  </si>
  <si>
    <t>Открытая (30.03.1992)/29</t>
  </si>
  <si>
    <t>92,60</t>
  </si>
  <si>
    <t xml:space="preserve">Колохин П. </t>
  </si>
  <si>
    <t>Янушкевич Иван</t>
  </si>
  <si>
    <t>Открытая (17.04.1986)/35</t>
  </si>
  <si>
    <t>99,70</t>
  </si>
  <si>
    <t>Некрасов Иван</t>
  </si>
  <si>
    <t>Открытая (18.03.1982)/39</t>
  </si>
  <si>
    <t>96,90</t>
  </si>
  <si>
    <t>Легчаев Роман</t>
  </si>
  <si>
    <t>Открытая (03.12.1995)/25</t>
  </si>
  <si>
    <t>99,60</t>
  </si>
  <si>
    <t>Клещев Михаил</t>
  </si>
  <si>
    <t>Открытая (05.03.1986)/35</t>
  </si>
  <si>
    <t>95,40</t>
  </si>
  <si>
    <t>Мучлер Александр</t>
  </si>
  <si>
    <t>Открытая (06.08.1979)/41</t>
  </si>
  <si>
    <t>Юсифзаде Мехман</t>
  </si>
  <si>
    <t>Открытая (06.08.1989)/31</t>
  </si>
  <si>
    <t>98,60</t>
  </si>
  <si>
    <t>Мастера 40-49 (06.08.1979)/41</t>
  </si>
  <si>
    <t>Петросян Артур</t>
  </si>
  <si>
    <t>Мастера 50-59 (23.02.1970)/51</t>
  </si>
  <si>
    <t>Голтвяницкий Леонид</t>
  </si>
  <si>
    <t>Юноши 17-19 (22.04.2004)/17</t>
  </si>
  <si>
    <t>108,10</t>
  </si>
  <si>
    <t>Бондарев Евгений</t>
  </si>
  <si>
    <t>Открытая (21.09.1985)/35</t>
  </si>
  <si>
    <t>108,80</t>
  </si>
  <si>
    <t>Асадчих Станислав</t>
  </si>
  <si>
    <t>Открытая (17.01.1989)/32</t>
  </si>
  <si>
    <t>108,70</t>
  </si>
  <si>
    <t>Королев Дмитрий</t>
  </si>
  <si>
    <t>Открытая (25.03.1993)/28</t>
  </si>
  <si>
    <t>105,70</t>
  </si>
  <si>
    <t>Захаров Дмитрий</t>
  </si>
  <si>
    <t>Открытая (10.01.1986)/35</t>
  </si>
  <si>
    <t>106,10</t>
  </si>
  <si>
    <t>Цымбаленко Владимир</t>
  </si>
  <si>
    <t>Открытая (13.07.1985)/35</t>
  </si>
  <si>
    <t>109,40</t>
  </si>
  <si>
    <t>Лариков Роман</t>
  </si>
  <si>
    <t>Мастера 40-49 (14.09.1975)/45</t>
  </si>
  <si>
    <t>Герштанский Сергей</t>
  </si>
  <si>
    <t>Мастера 40-49 (06.04.1974)/47</t>
  </si>
  <si>
    <t>105,60</t>
  </si>
  <si>
    <t>162,5</t>
  </si>
  <si>
    <t xml:space="preserve">Петросян А. </t>
  </si>
  <si>
    <t>Мемнонов Владимир</t>
  </si>
  <si>
    <t>Мастера 60-69 (28.05.1958)/62</t>
  </si>
  <si>
    <t>104,50</t>
  </si>
  <si>
    <t xml:space="preserve">Прохоров Д. </t>
  </si>
  <si>
    <t>Маркелов Алексей</t>
  </si>
  <si>
    <t>Открытая (12.06.1984)/36</t>
  </si>
  <si>
    <t>117,60</t>
  </si>
  <si>
    <t>Пелин Артем</t>
  </si>
  <si>
    <t>Открытая (28.01.1982)/39</t>
  </si>
  <si>
    <t>121,30</t>
  </si>
  <si>
    <t xml:space="preserve">Сарычев Т. </t>
  </si>
  <si>
    <t>Пешко Владимир</t>
  </si>
  <si>
    <t>Мастера 50-59 (12.02.1970)/51</t>
  </si>
  <si>
    <t>Никифоров Александр</t>
  </si>
  <si>
    <t>Открытая (18.10.1973)/47</t>
  </si>
  <si>
    <t>146,50</t>
  </si>
  <si>
    <t>Мастера 40-49 (18.10.1973)/47</t>
  </si>
  <si>
    <t>152,1288</t>
  </si>
  <si>
    <t>147,6250</t>
  </si>
  <si>
    <t>146,3587</t>
  </si>
  <si>
    <t>154,2586</t>
  </si>
  <si>
    <t>133,1254</t>
  </si>
  <si>
    <t>122,7215</t>
  </si>
  <si>
    <t>6</t>
  </si>
  <si>
    <t>7</t>
  </si>
  <si>
    <t>8</t>
  </si>
  <si>
    <t>ВЕСОВАЯ КАТЕГОРИЯ   44</t>
  </si>
  <si>
    <t>Русакова Диана</t>
  </si>
  <si>
    <t>Девушки 14-16 (24.09.2007)/13</t>
  </si>
  <si>
    <t>39,80</t>
  </si>
  <si>
    <t>27,5</t>
  </si>
  <si>
    <t xml:space="preserve">Русаков А. </t>
  </si>
  <si>
    <t>Алексеева Оксана</t>
  </si>
  <si>
    <t>Открытая (07.10.1991)/29</t>
  </si>
  <si>
    <t>51,10</t>
  </si>
  <si>
    <t>52,5</t>
  </si>
  <si>
    <t xml:space="preserve">Селищев А. </t>
  </si>
  <si>
    <t>Чинчилей Анастасия</t>
  </si>
  <si>
    <t>Юниорки (06.06.1997)/23</t>
  </si>
  <si>
    <t>54,90</t>
  </si>
  <si>
    <t xml:space="preserve">Зайцев В. </t>
  </si>
  <si>
    <t>Савчук Анастасия</t>
  </si>
  <si>
    <t>Открытая (31.03.1992)/29</t>
  </si>
  <si>
    <t>82,5</t>
  </si>
  <si>
    <t xml:space="preserve">Силантьев А. </t>
  </si>
  <si>
    <t>Геташвили Мария</t>
  </si>
  <si>
    <t>Открытая (18.06.1980)/40</t>
  </si>
  <si>
    <t>55,40</t>
  </si>
  <si>
    <t xml:space="preserve">Баландин С. </t>
  </si>
  <si>
    <t>Кичева Елена</t>
  </si>
  <si>
    <t>Открытая (30.12.1991)/29</t>
  </si>
  <si>
    <t>55,10</t>
  </si>
  <si>
    <t xml:space="preserve">Харитонов </t>
  </si>
  <si>
    <t>Дорохина Юлия</t>
  </si>
  <si>
    <t>Открытая (03.06.1985)/35</t>
  </si>
  <si>
    <t>57,90</t>
  </si>
  <si>
    <t xml:space="preserve">Мучлер А. </t>
  </si>
  <si>
    <t>Кузнецова Анна</t>
  </si>
  <si>
    <t>Открытая (21.10.1987)/33</t>
  </si>
  <si>
    <t xml:space="preserve">Мазур Е. </t>
  </si>
  <si>
    <t>Тишина Яна</t>
  </si>
  <si>
    <t>Мастера 40-49 (25.05.1979)/41</t>
  </si>
  <si>
    <t>58,00</t>
  </si>
  <si>
    <t>Харина Валентина</t>
  </si>
  <si>
    <t>Открытая (24.12.1977)/43</t>
  </si>
  <si>
    <t>64,20</t>
  </si>
  <si>
    <t xml:space="preserve">Прокопов М. </t>
  </si>
  <si>
    <t>Куликова Ирина</t>
  </si>
  <si>
    <t>Открытая (28.02.1992)/29</t>
  </si>
  <si>
    <t>Емельянова Ирина</t>
  </si>
  <si>
    <t>Открытая (20.03.1975)/46</t>
  </si>
  <si>
    <t>Ахметшина Жанна</t>
  </si>
  <si>
    <t>Открытая (27.08.1989)/31</t>
  </si>
  <si>
    <t>65,50</t>
  </si>
  <si>
    <t xml:space="preserve">Коробчук О. </t>
  </si>
  <si>
    <t>Куренкова Виктория</t>
  </si>
  <si>
    <t>Открытая (09.05.1990)/30</t>
  </si>
  <si>
    <t>65,90</t>
  </si>
  <si>
    <t xml:space="preserve">Синицин Н. </t>
  </si>
  <si>
    <t>Прокопова Елена</t>
  </si>
  <si>
    <t>Мастера 50-59 (07.03.1966)/55</t>
  </si>
  <si>
    <t>65,70</t>
  </si>
  <si>
    <t>Коробчук Оксана</t>
  </si>
  <si>
    <t>Открытая (22.11.1983)/37</t>
  </si>
  <si>
    <t>69,00</t>
  </si>
  <si>
    <t>Мысливец Галина</t>
  </si>
  <si>
    <t>Мастера 50-59 (27.01.1968)/53</t>
  </si>
  <si>
    <t xml:space="preserve">Добрынин А. </t>
  </si>
  <si>
    <t>Кузнецов Сергей</t>
  </si>
  <si>
    <t>Открытая (31.08.1982)/38</t>
  </si>
  <si>
    <t>54,80</t>
  </si>
  <si>
    <t>Yousefi Alireza</t>
  </si>
  <si>
    <t>Мастера 40-49 (10.08.1977)/43</t>
  </si>
  <si>
    <t>Траскин Кирилл</t>
  </si>
  <si>
    <t>Юноши 14-16 (07.08.2004)/16</t>
  </si>
  <si>
    <t xml:space="preserve">Докучаев К., Сюмайкин М. </t>
  </si>
  <si>
    <t>Грешняков Артем</t>
  </si>
  <si>
    <t>Юноши 14-16 (03.11.2006)/14</t>
  </si>
  <si>
    <t xml:space="preserve">Гончаров В. </t>
  </si>
  <si>
    <t>Щербаков Иван</t>
  </si>
  <si>
    <t>Юноши 17-19 (26.09.2002)/18</t>
  </si>
  <si>
    <t>61,60</t>
  </si>
  <si>
    <t xml:space="preserve">Щербаков Е. </t>
  </si>
  <si>
    <t>Рамазанов Бугалдин</t>
  </si>
  <si>
    <t>Юноши 17-19 (26.09.2003)/17</t>
  </si>
  <si>
    <t>66,30</t>
  </si>
  <si>
    <t xml:space="preserve">Абдурахманов З. </t>
  </si>
  <si>
    <t>Тагиров Икрам</t>
  </si>
  <si>
    <t>Юноши 17-19 (29.10.2003)/17</t>
  </si>
  <si>
    <t>64,70</t>
  </si>
  <si>
    <t>Храпко Сергей</t>
  </si>
  <si>
    <t>Юниоры (03.11.2000)/20</t>
  </si>
  <si>
    <t xml:space="preserve">Гребнев Е. </t>
  </si>
  <si>
    <t>Катаргин Дмитрий</t>
  </si>
  <si>
    <t>Юниоры (21.09.2000)/20</t>
  </si>
  <si>
    <t>Быков Евгений</t>
  </si>
  <si>
    <t>Открытая (02.07.1981)/39</t>
  </si>
  <si>
    <t>Сурин Артем</t>
  </si>
  <si>
    <t>Открытая (17.03.1997)/24</t>
  </si>
  <si>
    <t>64,60</t>
  </si>
  <si>
    <t xml:space="preserve">Гречина И. </t>
  </si>
  <si>
    <t>Строчков Артем</t>
  </si>
  <si>
    <t>Открытая (09.10.1993)/27</t>
  </si>
  <si>
    <t>65,20</t>
  </si>
  <si>
    <t xml:space="preserve">Желобков А. </t>
  </si>
  <si>
    <t>Глухов Евгений</t>
  </si>
  <si>
    <t>Открытая (10.04.1987)/34</t>
  </si>
  <si>
    <t>66,60</t>
  </si>
  <si>
    <t>Липихин Олег</t>
  </si>
  <si>
    <t>Открытая (10.08.1988)/32</t>
  </si>
  <si>
    <t>Климов Григорий</t>
  </si>
  <si>
    <t>Открытая (26.11.1992)/28</t>
  </si>
  <si>
    <t>Егоров Кирилл</t>
  </si>
  <si>
    <t>Юноши 14-16 (11.08.2004)/16</t>
  </si>
  <si>
    <t>72,70</t>
  </si>
  <si>
    <t>Клюс Сергей</t>
  </si>
  <si>
    <t>Юноши 17-19 (19.07.2001)/19</t>
  </si>
  <si>
    <t>Шишлянников Даниил</t>
  </si>
  <si>
    <t>Юноши 17-19 (05.04.2002)/19</t>
  </si>
  <si>
    <t>70,20</t>
  </si>
  <si>
    <t xml:space="preserve">Шишлянников Д. </t>
  </si>
  <si>
    <t>Мазуренко Станислав</t>
  </si>
  <si>
    <t>Открытая (20.06.1987)/33</t>
  </si>
  <si>
    <t>Абдурахманов Заур</t>
  </si>
  <si>
    <t>Открытая (24.06.1990)/30</t>
  </si>
  <si>
    <t>73,80</t>
  </si>
  <si>
    <t>Губенко Игорь</t>
  </si>
  <si>
    <t>Открытая (16.07.1971)/49</t>
  </si>
  <si>
    <t>73,90</t>
  </si>
  <si>
    <t>Коломыцев Михаил</t>
  </si>
  <si>
    <t>Открытая (21.06.1989)/31</t>
  </si>
  <si>
    <t>Масленников Николай</t>
  </si>
  <si>
    <t>Открытая (18.12.1992)/28</t>
  </si>
  <si>
    <t>Распопов Максим</t>
  </si>
  <si>
    <t>Открытая (11.07.1992)/28</t>
  </si>
  <si>
    <t>Шагайда Константин</t>
  </si>
  <si>
    <t>Открытая (15.01.1996)/25</t>
  </si>
  <si>
    <t>Исин Михаил</t>
  </si>
  <si>
    <t>Открытая (21.02.1995)/26</t>
  </si>
  <si>
    <t xml:space="preserve">Писарев А. </t>
  </si>
  <si>
    <t>Мастера 40-49 (16.07.1971)/49</t>
  </si>
  <si>
    <t>Пономарев Вадим</t>
  </si>
  <si>
    <t>Юноши 14-16 (06.06.2004)/16</t>
  </si>
  <si>
    <t>75,30</t>
  </si>
  <si>
    <t>Савченко Никита</t>
  </si>
  <si>
    <t>Юноши 17-19 (16.12.2001)/19</t>
  </si>
  <si>
    <t>Глазков Вячеслав</t>
  </si>
  <si>
    <t>Юноши 17-19 (10.01.2003)/18</t>
  </si>
  <si>
    <t>77,10</t>
  </si>
  <si>
    <t xml:space="preserve">Милостной С. </t>
  </si>
  <si>
    <t>Боровков Владислав</t>
  </si>
  <si>
    <t>Юниоры (07.10.1997)/23</t>
  </si>
  <si>
    <t>79,90</t>
  </si>
  <si>
    <t>Сенькин Станислав</t>
  </si>
  <si>
    <t>Открытая (22.01.1996)/25</t>
  </si>
  <si>
    <t xml:space="preserve">Сенькин Д. </t>
  </si>
  <si>
    <t>Волков Илья</t>
  </si>
  <si>
    <t>Открытая (30.06.1994)/26</t>
  </si>
  <si>
    <t>79,40</t>
  </si>
  <si>
    <t xml:space="preserve">Рыбалкин Д. </t>
  </si>
  <si>
    <t>Козлов Александр</t>
  </si>
  <si>
    <t>Открытая (04.07.1981)/39</t>
  </si>
  <si>
    <t>Кондратюк Антон</t>
  </si>
  <si>
    <t>Открытая (06.09.1986)/34</t>
  </si>
  <si>
    <t>78,90</t>
  </si>
  <si>
    <t>Евсеев Игорь</t>
  </si>
  <si>
    <t>Открытая (30.07.1988)/32</t>
  </si>
  <si>
    <t xml:space="preserve">Скорятин А. </t>
  </si>
  <si>
    <t>Лебедев Николай</t>
  </si>
  <si>
    <t>Мастера 40-49 (12.09.1978)/42</t>
  </si>
  <si>
    <t xml:space="preserve">Скаржинский И. </t>
  </si>
  <si>
    <t>Пронишев Евгений</t>
  </si>
  <si>
    <t>Мастера 40-49 (26.04.1978)/43</t>
  </si>
  <si>
    <t>80,40</t>
  </si>
  <si>
    <t>Николаев Александр</t>
  </si>
  <si>
    <t>Мастера 60-69 (08.07.1959)/61</t>
  </si>
  <si>
    <t>79,50</t>
  </si>
  <si>
    <t>Алексеев Андрей</t>
  </si>
  <si>
    <t>Юноши 14-16 (17.06.2004)/16</t>
  </si>
  <si>
    <t>82,90</t>
  </si>
  <si>
    <t>Ширяев Андрей</t>
  </si>
  <si>
    <t>Юниоры (06.06.1997)/23</t>
  </si>
  <si>
    <t>Своровский Георгий</t>
  </si>
  <si>
    <t>Юниоры (30.05.1997)/23</t>
  </si>
  <si>
    <t>Бочко Матвей</t>
  </si>
  <si>
    <t>Юниоры (19.05.1998)/22</t>
  </si>
  <si>
    <t>Хозяинов Дмитрий</t>
  </si>
  <si>
    <t>Юниоры (07.09.1998)/22</t>
  </si>
  <si>
    <t>87,10</t>
  </si>
  <si>
    <t>Шевченко Ярослав</t>
  </si>
  <si>
    <t>Юниоры (24.09.1999)/21</t>
  </si>
  <si>
    <t>88,50</t>
  </si>
  <si>
    <t>Алдошкин Артём</t>
  </si>
  <si>
    <t>Юниоры (20.07.2000)/20</t>
  </si>
  <si>
    <t>84,80</t>
  </si>
  <si>
    <t>Коновалов Сергей</t>
  </si>
  <si>
    <t>Открытая (23.05.1987)/33</t>
  </si>
  <si>
    <t xml:space="preserve">Меркулов А. </t>
  </si>
  <si>
    <t>Мищенко Артем</t>
  </si>
  <si>
    <t>Открытая (26.06.1984)/36</t>
  </si>
  <si>
    <t xml:space="preserve">Чокаев У. </t>
  </si>
  <si>
    <t>Терещенко Дмитрий</t>
  </si>
  <si>
    <t>89,40</t>
  </si>
  <si>
    <t>Талдыкин Алексей</t>
  </si>
  <si>
    <t>Открытая (29.03.1980)/41</t>
  </si>
  <si>
    <t>Гречишников Александр</t>
  </si>
  <si>
    <t>Открытая (20.09.1986)/34</t>
  </si>
  <si>
    <t>89,60</t>
  </si>
  <si>
    <t>Никонов Денис</t>
  </si>
  <si>
    <t>Открытая (21.03.1982)/39</t>
  </si>
  <si>
    <t>88,10</t>
  </si>
  <si>
    <t xml:space="preserve">Чекринев А. </t>
  </si>
  <si>
    <t>Корнилов Алексей</t>
  </si>
  <si>
    <t>Открытая (05.08.1990)/30</t>
  </si>
  <si>
    <t>Зык Виталий</t>
  </si>
  <si>
    <t>89,30</t>
  </si>
  <si>
    <t xml:space="preserve">Сакович О. </t>
  </si>
  <si>
    <t>Верховников Сергей</t>
  </si>
  <si>
    <t>Открытая (06.07.1990)/30</t>
  </si>
  <si>
    <t>86,70</t>
  </si>
  <si>
    <t xml:space="preserve">Новоголуб О. </t>
  </si>
  <si>
    <t>Нурмухаметов Радик</t>
  </si>
  <si>
    <t>Открытая (29.05.1996)/24</t>
  </si>
  <si>
    <t>Потехин Евгений</t>
  </si>
  <si>
    <t>Открытая (09.10.1989)/31</t>
  </si>
  <si>
    <t>Вислогузов Артем</t>
  </si>
  <si>
    <t>Открытая (25.12.1990)/30</t>
  </si>
  <si>
    <t>Мастера 40-49 (29.03.1980)/41</t>
  </si>
  <si>
    <t>Абдулкадиров Назир</t>
  </si>
  <si>
    <t>Мастера 40-49 (25.10.1976)/44</t>
  </si>
  <si>
    <t>88,90</t>
  </si>
  <si>
    <t xml:space="preserve">Тимохин П. </t>
  </si>
  <si>
    <t>Клименко Владимир</t>
  </si>
  <si>
    <t>Мастера 70-79 (12.03.1945)/76</t>
  </si>
  <si>
    <t xml:space="preserve">Наумов А. </t>
  </si>
  <si>
    <t>Шамин Георгий</t>
  </si>
  <si>
    <t>Юноши 14-16 (02.10.2007)/13</t>
  </si>
  <si>
    <t>90,30</t>
  </si>
  <si>
    <t>Шевченко Николай</t>
  </si>
  <si>
    <t>Юниоры (10.08.1998)/22</t>
  </si>
  <si>
    <t>Гаврин Никита</t>
  </si>
  <si>
    <t>Юниоры (03.03.2000)/21</t>
  </si>
  <si>
    <t>98,20</t>
  </si>
  <si>
    <t>Исмоилов Джовидон</t>
  </si>
  <si>
    <t>98,90</t>
  </si>
  <si>
    <t>Жиганов Михаил</t>
  </si>
  <si>
    <t>Открытая (07.06.1981)/39</t>
  </si>
  <si>
    <t>Казанцев Иван</t>
  </si>
  <si>
    <t>Открытая (29.09.1967)/53</t>
  </si>
  <si>
    <t>99,50</t>
  </si>
  <si>
    <t xml:space="preserve">Пастухова Л. </t>
  </si>
  <si>
    <t>Алёхин Евгений</t>
  </si>
  <si>
    <t>Открытая (02.10.1984)/36</t>
  </si>
  <si>
    <t>99,90</t>
  </si>
  <si>
    <t>Малин Валентин</t>
  </si>
  <si>
    <t>Открытая (08.09.1986)/34</t>
  </si>
  <si>
    <t>Гаврилов Ярослав</t>
  </si>
  <si>
    <t>Открытая (04.09.1989)/31</t>
  </si>
  <si>
    <t>93,70</t>
  </si>
  <si>
    <t>Волков Вячеслав</t>
  </si>
  <si>
    <t>Мастера 40-49 (13.11.1971)/49</t>
  </si>
  <si>
    <t>Костенко Алексей</t>
  </si>
  <si>
    <t>Мастера 40-49 (26.02.1980)/41</t>
  </si>
  <si>
    <t>Мастера 50-59 (29.09.1967)/53</t>
  </si>
  <si>
    <t>Васильев Валерий</t>
  </si>
  <si>
    <t>Мастера 70-79 (19.09.1947)/73</t>
  </si>
  <si>
    <t>98,10</t>
  </si>
  <si>
    <t>Циванюк Александр</t>
  </si>
  <si>
    <t>Открытая (23.11.1981)/39</t>
  </si>
  <si>
    <t>107,80</t>
  </si>
  <si>
    <t>Селединов Дмитрий</t>
  </si>
  <si>
    <t>Открытая (29.06.1986)/34</t>
  </si>
  <si>
    <t>103,50</t>
  </si>
  <si>
    <t>Зарубин Сергей</t>
  </si>
  <si>
    <t>Открытая (20.02.1982)/39</t>
  </si>
  <si>
    <t>107,90</t>
  </si>
  <si>
    <t>Черкашин Иван</t>
  </si>
  <si>
    <t>Открытая (14.04.1990)/31</t>
  </si>
  <si>
    <t>109,50</t>
  </si>
  <si>
    <t xml:space="preserve">Мухамбетов Б. </t>
  </si>
  <si>
    <t>Крипак Сергей</t>
  </si>
  <si>
    <t>Мастера 50-59 (26.08.1962)/58</t>
  </si>
  <si>
    <t>107,30</t>
  </si>
  <si>
    <t>Кильдюшкин Даниил</t>
  </si>
  <si>
    <t>Открытая (01.04.1997)/24</t>
  </si>
  <si>
    <t>123,70</t>
  </si>
  <si>
    <t>Орехов Валентин</t>
  </si>
  <si>
    <t>Мастера 40-49 (10.01.1977)/44</t>
  </si>
  <si>
    <t>113,00</t>
  </si>
  <si>
    <t xml:space="preserve">Музалевский А. </t>
  </si>
  <si>
    <t>Яковенко Владимир</t>
  </si>
  <si>
    <t>Мастера 60-69 (27.03.1959)/62</t>
  </si>
  <si>
    <t>146,0</t>
  </si>
  <si>
    <t xml:space="preserve">Савин К. </t>
  </si>
  <si>
    <t>Гороненков Ярослав</t>
  </si>
  <si>
    <t>Открытая (26.06.1982)/38</t>
  </si>
  <si>
    <t>132,00</t>
  </si>
  <si>
    <t xml:space="preserve">Цыганков О. </t>
  </si>
  <si>
    <t>Госман Дмитрий</t>
  </si>
  <si>
    <t>Открытая (22.05.1993)/27</t>
  </si>
  <si>
    <t>126,50</t>
  </si>
  <si>
    <t>Чубаров Владимир</t>
  </si>
  <si>
    <t>Мастера 50-59 (03.04.1964)/57</t>
  </si>
  <si>
    <t>134,40</t>
  </si>
  <si>
    <t>121,7620</t>
  </si>
  <si>
    <t>99,5858</t>
  </si>
  <si>
    <t>91,9615</t>
  </si>
  <si>
    <t>95,9420</t>
  </si>
  <si>
    <t>95,7835</t>
  </si>
  <si>
    <t>94,1360</t>
  </si>
  <si>
    <t>108,8340</t>
  </si>
  <si>
    <t>102,1440</t>
  </si>
  <si>
    <t>98,3430</t>
  </si>
  <si>
    <t>126,4395</t>
  </si>
  <si>
    <t>126,0840</t>
  </si>
  <si>
    <t>123,7882</t>
  </si>
  <si>
    <t>153,5033</t>
  </si>
  <si>
    <t>138,0054</t>
  </si>
  <si>
    <t>130,6328</t>
  </si>
  <si>
    <t>9</t>
  </si>
  <si>
    <t>10</t>
  </si>
  <si>
    <t>11</t>
  </si>
  <si>
    <t>12</t>
  </si>
  <si>
    <t>13</t>
  </si>
  <si>
    <t>Кылымник Екатерина</t>
  </si>
  <si>
    <t>Открытая (26.11.1999)/21</t>
  </si>
  <si>
    <t>51,80</t>
  </si>
  <si>
    <t xml:space="preserve">Лубягин Д. </t>
  </si>
  <si>
    <t>Открытая (07.03.1966)/55</t>
  </si>
  <si>
    <t>Жигулин Константин</t>
  </si>
  <si>
    <t>Открытая (03.10.1987)/33</t>
  </si>
  <si>
    <t>235,5</t>
  </si>
  <si>
    <t xml:space="preserve">Василенко Д. </t>
  </si>
  <si>
    <t>Корольков Алексей</t>
  </si>
  <si>
    <t>Открытая (02.04.1990)/31</t>
  </si>
  <si>
    <t>81,90</t>
  </si>
  <si>
    <t>Винокуров Олег</t>
  </si>
  <si>
    <t>Мастера 50-59 (10.05.1966)/54</t>
  </si>
  <si>
    <t>76,00</t>
  </si>
  <si>
    <t>Ли Владимир</t>
  </si>
  <si>
    <t>Мастера 60-69 (16.10.1951)/69</t>
  </si>
  <si>
    <t>Горбачевский Виктор</t>
  </si>
  <si>
    <t>Мастера 50-59 (28.04.1969)/52</t>
  </si>
  <si>
    <t xml:space="preserve">Варава И. </t>
  </si>
  <si>
    <t>Гамаев Александр</t>
  </si>
  <si>
    <t>Открытая (06.02.1983)/38</t>
  </si>
  <si>
    <t>Куротченко Игорь</t>
  </si>
  <si>
    <t>Мастера 50-59 (20.03.1962)/59</t>
  </si>
  <si>
    <t>Чередин Владимир</t>
  </si>
  <si>
    <t>Открытая (30.01.1971)/50</t>
  </si>
  <si>
    <t>124,90</t>
  </si>
  <si>
    <t>301,0</t>
  </si>
  <si>
    <t xml:space="preserve">Залуцкий Р. </t>
  </si>
  <si>
    <t>Мастера 50-59 (30.01.1971)/50</t>
  </si>
  <si>
    <t>Мима Виктор</t>
  </si>
  <si>
    <t>Открытая (31.10.1991)/29</t>
  </si>
  <si>
    <t>137,70</t>
  </si>
  <si>
    <t>272,5</t>
  </si>
  <si>
    <t>Краснобаев Даниил</t>
  </si>
  <si>
    <t>Открытая (18.05.1981)/39</t>
  </si>
  <si>
    <t xml:space="preserve">Кровиков А. </t>
  </si>
  <si>
    <t>Петренко Александр</t>
  </si>
  <si>
    <t>Открытая (27.05.1990)/30</t>
  </si>
  <si>
    <t>Евтеев Алексей</t>
  </si>
  <si>
    <t>Открытая (08.08.1994)/26</t>
  </si>
  <si>
    <t>104,10</t>
  </si>
  <si>
    <t>Пискарев Алексндр</t>
  </si>
  <si>
    <t>Открытая (02.09.1985)/35</t>
  </si>
  <si>
    <t>Борисов Артур</t>
  </si>
  <si>
    <t>Юниоры (29.12.1997)/23</t>
  </si>
  <si>
    <t>121,70</t>
  </si>
  <si>
    <t>Тохтуев Андрей</t>
  </si>
  <si>
    <t>Открытая (06.06.1982)/38</t>
  </si>
  <si>
    <t>98,00</t>
  </si>
  <si>
    <t>Сухарев Андрей</t>
  </si>
  <si>
    <t>Открытая (22.07.1974)/46</t>
  </si>
  <si>
    <t>Василенко Дмитрий</t>
  </si>
  <si>
    <t>Открытая (03.06.1975)/45</t>
  </si>
  <si>
    <t>115,10</t>
  </si>
  <si>
    <t>400,0</t>
  </si>
  <si>
    <t>124,00</t>
  </si>
  <si>
    <t>391,0</t>
  </si>
  <si>
    <t>Александрова Мария</t>
  </si>
  <si>
    <t>Открытая (14.06.1981)/39</t>
  </si>
  <si>
    <t>Клинцова Мария</t>
  </si>
  <si>
    <t>Открытая (31.01.1987)/34</t>
  </si>
  <si>
    <t>87,30</t>
  </si>
  <si>
    <t xml:space="preserve">Мельников А. </t>
  </si>
  <si>
    <t>Расеев Никита</t>
  </si>
  <si>
    <t>Юноши 14-16 (23.05.2005)/15</t>
  </si>
  <si>
    <t>64,30</t>
  </si>
  <si>
    <t>Дольников Сергей</t>
  </si>
  <si>
    <t>Открытая (05.05.1986)/35</t>
  </si>
  <si>
    <t>Саванин Павел</t>
  </si>
  <si>
    <t>Открытая (17.10.1988)/32</t>
  </si>
  <si>
    <t>99,20</t>
  </si>
  <si>
    <t>Кравченко Евгений</t>
  </si>
  <si>
    <t>Открытая (03.11.1986)/34</t>
  </si>
  <si>
    <t>365,0</t>
  </si>
  <si>
    <t>Аванесян Сурен</t>
  </si>
  <si>
    <t>Мастера 40-49 (26.07.1979)/41</t>
  </si>
  <si>
    <t>Макаров Владимир</t>
  </si>
  <si>
    <t>Мастера 70-79 (25.07.1946)/74</t>
  </si>
  <si>
    <t>95,90</t>
  </si>
  <si>
    <t>Сысоев Станислав</t>
  </si>
  <si>
    <t>Открытая (02.01.1990)/31</t>
  </si>
  <si>
    <t>322,5</t>
  </si>
  <si>
    <t>Чухнов Павел</t>
  </si>
  <si>
    <t>Открытая (11.06.1989)/31</t>
  </si>
  <si>
    <t>Чепижко Владимир</t>
  </si>
  <si>
    <t>Мастера 50-59 (09.02.1965)/56</t>
  </si>
  <si>
    <t xml:space="preserve">Иноземцев С. </t>
  </si>
  <si>
    <t>Туляков Никита</t>
  </si>
  <si>
    <t>Открытая (23.02.1988)/33</t>
  </si>
  <si>
    <t xml:space="preserve">Панферова М. </t>
  </si>
  <si>
    <t>Бондарев Иван</t>
  </si>
  <si>
    <t>Открытая (09.09.1992)/28</t>
  </si>
  <si>
    <t>133,20</t>
  </si>
  <si>
    <t>Макеев Денис</t>
  </si>
  <si>
    <t>Открытая (22.04.1983)/38</t>
  </si>
  <si>
    <t>131,50</t>
  </si>
  <si>
    <t xml:space="preserve">Курлов И. </t>
  </si>
  <si>
    <t>Пермяков Сергей</t>
  </si>
  <si>
    <t>Открытая (09.09.1983)/37</t>
  </si>
  <si>
    <t>144,30</t>
  </si>
  <si>
    <t>198,1120</t>
  </si>
  <si>
    <t>197,8075</t>
  </si>
  <si>
    <t>194,7050</t>
  </si>
  <si>
    <t>Баранова Наталия</t>
  </si>
  <si>
    <t>Мастера 50-59 (08.11.1961)/59</t>
  </si>
  <si>
    <t>47,20</t>
  </si>
  <si>
    <t>Коробкова Ирина</t>
  </si>
  <si>
    <t>Открытая (12.10.1988)/32</t>
  </si>
  <si>
    <t>51,20</t>
  </si>
  <si>
    <t xml:space="preserve">Салпагаров Д. </t>
  </si>
  <si>
    <t>Юрчевская Зоя</t>
  </si>
  <si>
    <t>Юниорки (18.10.1997)/23</t>
  </si>
  <si>
    <t>55,50</t>
  </si>
  <si>
    <t xml:space="preserve">Некрасова Е., Парфенов А. </t>
  </si>
  <si>
    <t>Шахунц Евгения</t>
  </si>
  <si>
    <t>Открытая (14.04.1992)/29</t>
  </si>
  <si>
    <t>55,00</t>
  </si>
  <si>
    <t>Харламова Елизавета</t>
  </si>
  <si>
    <t>Открытая (09.07.1990)/30</t>
  </si>
  <si>
    <t>55,20</t>
  </si>
  <si>
    <t xml:space="preserve">Солохин Д. </t>
  </si>
  <si>
    <t>Трухтанова Евгения</t>
  </si>
  <si>
    <t>Открытая (03.07.1987)/33</t>
  </si>
  <si>
    <t>Мякишева Галина</t>
  </si>
  <si>
    <t>Открытая (05.11.1983)/37</t>
  </si>
  <si>
    <t>Насырова Анжелика</t>
  </si>
  <si>
    <t>Открытая (13.06.1995)/25</t>
  </si>
  <si>
    <t xml:space="preserve">Салапгаров Д. </t>
  </si>
  <si>
    <t>Брик Ольга</t>
  </si>
  <si>
    <t>Открытая (25.12.1987)/33</t>
  </si>
  <si>
    <t>62,40</t>
  </si>
  <si>
    <t xml:space="preserve">Фахретдинова Э. </t>
  </si>
  <si>
    <t>Арифулина Мария</t>
  </si>
  <si>
    <t>Открытая (17.10.1989)/31</t>
  </si>
  <si>
    <t>Горбатова Светлана</t>
  </si>
  <si>
    <t>Открытая (01.04.1985)/36</t>
  </si>
  <si>
    <t>70,80</t>
  </si>
  <si>
    <t>Вышинский Никита</t>
  </si>
  <si>
    <t>Юноши 14-16 (30.11.2007)/13</t>
  </si>
  <si>
    <t>50,70</t>
  </si>
  <si>
    <t xml:space="preserve">Мякишев С. </t>
  </si>
  <si>
    <t>Фомин Александр</t>
  </si>
  <si>
    <t>Открытая (19.10.1987)/33</t>
  </si>
  <si>
    <t>176,0</t>
  </si>
  <si>
    <t>Беспелюхин Алексей</t>
  </si>
  <si>
    <t>Юноши 17-19 (01.10.2003)/17</t>
  </si>
  <si>
    <t>Острянин Артем</t>
  </si>
  <si>
    <t>Юноши 17-19 (14.03.2003)/18</t>
  </si>
  <si>
    <t>Karimov Mirtahib</t>
  </si>
  <si>
    <t>Юниоры (03.07.2000)/20</t>
  </si>
  <si>
    <t>72,20</t>
  </si>
  <si>
    <t xml:space="preserve">Quliyev N. </t>
  </si>
  <si>
    <t>Крес Никита</t>
  </si>
  <si>
    <t>Юниоры (05.02.1998)/23</t>
  </si>
  <si>
    <t>72,90</t>
  </si>
  <si>
    <t>Щемелев Владимир</t>
  </si>
  <si>
    <t>Мастера 60-69 (02.04.1961)/60</t>
  </si>
  <si>
    <t>Айсаев Мухтар</t>
  </si>
  <si>
    <t>Юниоры (21.01.1998)/23</t>
  </si>
  <si>
    <t>Самойлов Максим</t>
  </si>
  <si>
    <t>Открытая (04.05.1996)/25</t>
  </si>
  <si>
    <t xml:space="preserve">Савин А. </t>
  </si>
  <si>
    <t>Чернов Владимир</t>
  </si>
  <si>
    <t>Открытая (30.01.1990)/31</t>
  </si>
  <si>
    <t>82,30</t>
  </si>
  <si>
    <t xml:space="preserve">Дьячков А. </t>
  </si>
  <si>
    <t>Ванякин Андрей</t>
  </si>
  <si>
    <t>Открытая (24.05.1995)/25</t>
  </si>
  <si>
    <t>82,10</t>
  </si>
  <si>
    <t>Антонов Юрий</t>
  </si>
  <si>
    <t>Мастера 40-49 (10.04.1980)/41</t>
  </si>
  <si>
    <t>81,30</t>
  </si>
  <si>
    <t>Иванов Данил</t>
  </si>
  <si>
    <t>Юноши 14-16 (13.10.2004)/16</t>
  </si>
  <si>
    <t>Шахов Владимир</t>
  </si>
  <si>
    <t>Открытая (07.09.1996)/24</t>
  </si>
  <si>
    <t>87,80</t>
  </si>
  <si>
    <t>Краснолобов Юрий</t>
  </si>
  <si>
    <t>Открытая (20.12.1987)/33</t>
  </si>
  <si>
    <t>Горемыкин Сергей</t>
  </si>
  <si>
    <t>Открытая (23.02.1989)/32</t>
  </si>
  <si>
    <t xml:space="preserve">Чухнов П. </t>
  </si>
  <si>
    <t>Этезов Вадим</t>
  </si>
  <si>
    <t>Мастера 40-49 (03.03.1979)/42</t>
  </si>
  <si>
    <t>83,60</t>
  </si>
  <si>
    <t>Зайцев Вадим</t>
  </si>
  <si>
    <t>Мастера 60-69 (26.08.1960)/60</t>
  </si>
  <si>
    <t>86,40</t>
  </si>
  <si>
    <t>243,0</t>
  </si>
  <si>
    <t>Карпунин Константин</t>
  </si>
  <si>
    <t>Юноши 17-19 (25.10.2003)/17</t>
  </si>
  <si>
    <t>Писарев Андрей</t>
  </si>
  <si>
    <t>Открытая (26.09.1995)/25</t>
  </si>
  <si>
    <t>Мамуладзе Давит</t>
  </si>
  <si>
    <t>Мастера 40-49 (05.08.1976)/44</t>
  </si>
  <si>
    <t>Стрижов Дмитрий</t>
  </si>
  <si>
    <t>Открытая (20.08.1992)/28</t>
  </si>
  <si>
    <t>102,50</t>
  </si>
  <si>
    <t>Пинчук Евгений</t>
  </si>
  <si>
    <t>Открытая (29.10.1985)/35</t>
  </si>
  <si>
    <t>101,80</t>
  </si>
  <si>
    <t>Алимов Антон</t>
  </si>
  <si>
    <t>Открытая (06.03.1990)/31</t>
  </si>
  <si>
    <t>117,70</t>
  </si>
  <si>
    <t xml:space="preserve">Кленин М. </t>
  </si>
  <si>
    <t>Воробьёв Сергей</t>
  </si>
  <si>
    <t>Мастера 40-49 (25.05.1974)/46</t>
  </si>
  <si>
    <t>129,80</t>
  </si>
  <si>
    <t>181,2015</t>
  </si>
  <si>
    <t>153,1780</t>
  </si>
  <si>
    <t>152,2935</t>
  </si>
  <si>
    <t>180,5650</t>
  </si>
  <si>
    <t>176,5800</t>
  </si>
  <si>
    <t>176,3685</t>
  </si>
  <si>
    <t xml:space="preserve">Мастера 60-69 </t>
  </si>
  <si>
    <t>Суховей Наталья</t>
  </si>
  <si>
    <t>Мастера 60-69 (25.11.1960)/60</t>
  </si>
  <si>
    <t>Мухин Всеволод</t>
  </si>
  <si>
    <t>Юноши 14-16 (16.01.2009)/12</t>
  </si>
  <si>
    <t>54,00</t>
  </si>
  <si>
    <t>46,0</t>
  </si>
  <si>
    <t>Леонтьев Ярослав</t>
  </si>
  <si>
    <t xml:space="preserve">Горбунов А. </t>
  </si>
  <si>
    <t>Алиев Владимир</t>
  </si>
  <si>
    <t>Открытая (26.01.1992)/29</t>
  </si>
  <si>
    <t xml:space="preserve">Мельников Н. </t>
  </si>
  <si>
    <t>Лапин-Кратасюк Евгений</t>
  </si>
  <si>
    <t>Мастера 40-49 (13.09.1980)/40</t>
  </si>
  <si>
    <t>134,80</t>
  </si>
  <si>
    <t>Ганиев Артур</t>
  </si>
  <si>
    <t>Открытая (08.01.1989)/32</t>
  </si>
  <si>
    <t>74,70</t>
  </si>
  <si>
    <t>Тертыш Андрей</t>
  </si>
  <si>
    <t>Мастера 40-49 (18.02.1980)/41</t>
  </si>
  <si>
    <t xml:space="preserve">Рыбин С. </t>
  </si>
  <si>
    <t>Беличенко Юрий</t>
  </si>
  <si>
    <t>Юниоры (18.03.1999)/22</t>
  </si>
  <si>
    <t>Костин Виталий</t>
  </si>
  <si>
    <t>Открытая (11.08.1989)/31</t>
  </si>
  <si>
    <t>93,60</t>
  </si>
  <si>
    <t>274,6800</t>
  </si>
  <si>
    <t>416,0</t>
  </si>
  <si>
    <t>273,1456</t>
  </si>
  <si>
    <t>270,7740</t>
  </si>
  <si>
    <t>Лыткина Алла</t>
  </si>
  <si>
    <t>Открытая (25.07.1983)/37</t>
  </si>
  <si>
    <t xml:space="preserve">Кушнир В. </t>
  </si>
  <si>
    <t>Борисова Анастасия</t>
  </si>
  <si>
    <t>103,70</t>
  </si>
  <si>
    <t>30,0</t>
  </si>
  <si>
    <t xml:space="preserve">Химченко А. </t>
  </si>
  <si>
    <t>Открытая (23.03.1998)/23</t>
  </si>
  <si>
    <t>Химченко Данил</t>
  </si>
  <si>
    <t>53,00</t>
  </si>
  <si>
    <t>Тишков Николай</t>
  </si>
  <si>
    <t>75,40</t>
  </si>
  <si>
    <t xml:space="preserve">Кушнир Владимир </t>
  </si>
  <si>
    <t>Березовский Степан</t>
  </si>
  <si>
    <t>Открытая (26.08.1988)/32</t>
  </si>
  <si>
    <t>116,70</t>
  </si>
  <si>
    <t>Кушнир Владимир</t>
  </si>
  <si>
    <t>116,80</t>
  </si>
  <si>
    <t>69,0</t>
  </si>
  <si>
    <t>79,60</t>
  </si>
  <si>
    <t>113,90</t>
  </si>
  <si>
    <t>Абдуллин Марат</t>
  </si>
  <si>
    <t>Открытая (21.07.1985)/35</t>
  </si>
  <si>
    <t xml:space="preserve">Устинов Б </t>
  </si>
  <si>
    <t>Качалин Андрей</t>
  </si>
  <si>
    <t>73,60</t>
  </si>
  <si>
    <t>Никитченко Сергей</t>
  </si>
  <si>
    <t>Подъем на бицепс</t>
  </si>
  <si>
    <t>Соколова Анна</t>
  </si>
  <si>
    <t>Открытая (01.07.1983)/37</t>
  </si>
  <si>
    <t>Евменчикова Елена</t>
  </si>
  <si>
    <t>Открытая (21.06.1978)/42</t>
  </si>
  <si>
    <t>73,10</t>
  </si>
  <si>
    <t>Диаманти Ники</t>
  </si>
  <si>
    <t>Открытая (14.01.1995)/26</t>
  </si>
  <si>
    <t>79,20</t>
  </si>
  <si>
    <t xml:space="preserve">Алмазов Г. </t>
  </si>
  <si>
    <t>Новиков Юрий</t>
  </si>
  <si>
    <t>Открытая (22.10.1991)/29</t>
  </si>
  <si>
    <t>43,0</t>
  </si>
  <si>
    <t xml:space="preserve">Дуров С. </t>
  </si>
  <si>
    <t>Зацепин Матвей</t>
  </si>
  <si>
    <t>Крищук Олег</t>
  </si>
  <si>
    <t>Открытая (29.05.1975)/45</t>
  </si>
  <si>
    <t>Савочкин Евгений</t>
  </si>
  <si>
    <t>67,40</t>
  </si>
  <si>
    <t>63,0</t>
  </si>
  <si>
    <t>Адар Дэниз</t>
  </si>
  <si>
    <t>Новиков Артём</t>
  </si>
  <si>
    <t>69,90</t>
  </si>
  <si>
    <t>Шафарук Дмитрий</t>
  </si>
  <si>
    <t xml:space="preserve">Кок Д. </t>
  </si>
  <si>
    <t>Дементьев Иван</t>
  </si>
  <si>
    <t>72,60</t>
  </si>
  <si>
    <t>Рыбкин Максим</t>
  </si>
  <si>
    <t>Открытая (16.04.1986)/35</t>
  </si>
  <si>
    <t>Баянов Максим</t>
  </si>
  <si>
    <t>Открытая (09.03.1989)/32</t>
  </si>
  <si>
    <t>Дуров Сергей</t>
  </si>
  <si>
    <t>Колистратов Дмитрий</t>
  </si>
  <si>
    <t>69,5</t>
  </si>
  <si>
    <t>Ткачев Никита</t>
  </si>
  <si>
    <t>Боев Андрей</t>
  </si>
  <si>
    <t>Открытая (27.07.1988)/32</t>
  </si>
  <si>
    <t>Шарлай Александр</t>
  </si>
  <si>
    <t>Открытая (15.02.1987)/34</t>
  </si>
  <si>
    <t>Марченко Алексей</t>
  </si>
  <si>
    <t>Открытая (09.05.1991)/30</t>
  </si>
  <si>
    <t xml:space="preserve">Коломыцев М. </t>
  </si>
  <si>
    <t>Барсуков Данил</t>
  </si>
  <si>
    <t>83,30</t>
  </si>
  <si>
    <t xml:space="preserve">Скорятин Андрей </t>
  </si>
  <si>
    <t>Мельяновский Александр</t>
  </si>
  <si>
    <t>Открытая (05.04.1978)/43</t>
  </si>
  <si>
    <t>88,60</t>
  </si>
  <si>
    <t>Балацкий Артур</t>
  </si>
  <si>
    <t>Открытая (22.11.1990)/30</t>
  </si>
  <si>
    <t>84,70</t>
  </si>
  <si>
    <t>Химченко Андрей</t>
  </si>
  <si>
    <t>Открытая (07.03.1983)/38</t>
  </si>
  <si>
    <t>87,50</t>
  </si>
  <si>
    <t>Орехов Артур</t>
  </si>
  <si>
    <t>87,60</t>
  </si>
  <si>
    <t>83,20</t>
  </si>
  <si>
    <t>Уваров Максим</t>
  </si>
  <si>
    <t>Открытая (22.02.1993)/28</t>
  </si>
  <si>
    <t>Пенько Константин</t>
  </si>
  <si>
    <t>94,30</t>
  </si>
  <si>
    <t>Лебедев Сергей</t>
  </si>
  <si>
    <t>91,30</t>
  </si>
  <si>
    <t>Спиридонов Валентин</t>
  </si>
  <si>
    <t>108,60</t>
  </si>
  <si>
    <t xml:space="preserve">Никифоров Д. </t>
  </si>
  <si>
    <t>Спиридонов Павел</t>
  </si>
  <si>
    <t>Тагиев Низами</t>
  </si>
  <si>
    <t>Открытая (05.04.1991)/30</t>
  </si>
  <si>
    <t>Жуковский Антон</t>
  </si>
  <si>
    <t>Открытая (01.01.1988)/33</t>
  </si>
  <si>
    <t xml:space="preserve">Тагиев Н. </t>
  </si>
  <si>
    <t>Романов Дмитрий</t>
  </si>
  <si>
    <t>Открытая (16.06.1987)/33</t>
  </si>
  <si>
    <t xml:space="preserve">Чибисов С. </t>
  </si>
  <si>
    <t>Николаев Кирилл</t>
  </si>
  <si>
    <t>Открытая (13.07.1980)/40</t>
  </si>
  <si>
    <t xml:space="preserve">Прохоренко А. </t>
  </si>
  <si>
    <t>127,90</t>
  </si>
  <si>
    <t>47,3200</t>
  </si>
  <si>
    <t>41,2531</t>
  </si>
  <si>
    <t>40,9920</t>
  </si>
  <si>
    <t>59,3565</t>
  </si>
  <si>
    <t>52,9237</t>
  </si>
  <si>
    <t>50,5470</t>
  </si>
  <si>
    <t>53,3271</t>
  </si>
  <si>
    <t>50,2359</t>
  </si>
  <si>
    <t>49,3238</t>
  </si>
  <si>
    <t>Одинцова Любовь</t>
  </si>
  <si>
    <t>Мастера 60-69 (24.10.1960)/60</t>
  </si>
  <si>
    <t>64,50</t>
  </si>
  <si>
    <t xml:space="preserve">Ковалев С. </t>
  </si>
  <si>
    <t>Новикова Лилия</t>
  </si>
  <si>
    <t>Мастера 50-59 (20.08.1964)/56</t>
  </si>
  <si>
    <t>68,80</t>
  </si>
  <si>
    <t xml:space="preserve">Ковалёв С. </t>
  </si>
  <si>
    <t>Зайцева Таисья</t>
  </si>
  <si>
    <t>Мастера 70-79 (30.08.1947)/73</t>
  </si>
  <si>
    <t>Маева Татьяна</t>
  </si>
  <si>
    <t>Мастера 60-69 (05.07.1958)/62</t>
  </si>
  <si>
    <t>90,80</t>
  </si>
  <si>
    <t>Шишикин Владимир</t>
  </si>
  <si>
    <t>Беляев Станислав</t>
  </si>
  <si>
    <t>Косарев Евгений</t>
  </si>
  <si>
    <t>Мастера 60-69 (29.03.1961)/60</t>
  </si>
  <si>
    <t>Пачин Алексей</t>
  </si>
  <si>
    <t>Мастера 40-49 (02.03.1979)/42</t>
  </si>
  <si>
    <t>Аркадьев Анатолий</t>
  </si>
  <si>
    <t>Мастера 60-69 (17.08.1954)/66</t>
  </si>
  <si>
    <t>Груничев Вячеслав</t>
  </si>
  <si>
    <t>Мастера 80+ (22.06.1939)/81</t>
  </si>
  <si>
    <t>78,70</t>
  </si>
  <si>
    <t>Петракович Николай</t>
  </si>
  <si>
    <t>Мастера 40-49 (17.08.1979)/41</t>
  </si>
  <si>
    <t>Избяков Александр</t>
  </si>
  <si>
    <t>Открытая (10.12.1984)/36</t>
  </si>
  <si>
    <t>Ковалев Сергей</t>
  </si>
  <si>
    <t>Мастера 50-59 (22.05.1969)/51</t>
  </si>
  <si>
    <t>98,40</t>
  </si>
  <si>
    <t>Аристов Олег</t>
  </si>
  <si>
    <t>Мастера 60-69 (08.03.1954)/67</t>
  </si>
  <si>
    <t>97,30</t>
  </si>
  <si>
    <t>Кузнецов Владимир</t>
  </si>
  <si>
    <t>Мастера 70-79 (04.03.1945)/76</t>
  </si>
  <si>
    <t>96,60</t>
  </si>
  <si>
    <t>Пурышев Иван</t>
  </si>
  <si>
    <t>Мастера 40-49 (03.05.1980)/41</t>
  </si>
  <si>
    <t>100,90</t>
  </si>
  <si>
    <t>109,8586</t>
  </si>
  <si>
    <t>104,3820</t>
  </si>
  <si>
    <t>100,7095</t>
  </si>
  <si>
    <t>Жигаленко Р.</t>
  </si>
  <si>
    <t>Штрекова Кристина</t>
  </si>
  <si>
    <t>Весовая категория</t>
  </si>
  <si>
    <t>Малов В.</t>
  </si>
  <si>
    <t>Баймашев А.</t>
  </si>
  <si>
    <t>Антонова Ю.</t>
  </si>
  <si>
    <t xml:space="preserve">Мамедов Р. </t>
  </si>
  <si>
    <t xml:space="preserve">Бакушин А. </t>
  </si>
  <si>
    <t xml:space="preserve">Лазариди Г. </t>
  </si>
  <si>
    <t xml:space="preserve">Шеремет А. </t>
  </si>
  <si>
    <t xml:space="preserve">Немов А. </t>
  </si>
  <si>
    <t xml:space="preserve">Абдулин М. </t>
  </si>
  <si>
    <t>Юноши 13-19 (03.11.2006)/14</t>
  </si>
  <si>
    <t>Юниоры 20-23 (24.03.1999)/22</t>
  </si>
  <si>
    <t>Юниорки 20-23 (23.03.1998)/23</t>
  </si>
  <si>
    <t>Юноши 13-19 (01.12.2004)/16</t>
  </si>
  <si>
    <t>Юноши 13-19 (28.08.2004)/16</t>
  </si>
  <si>
    <t>Мастера 40-49 (29.05.1975)/45</t>
  </si>
  <si>
    <t>Юноши 13-19 (23.05.2005)/15</t>
  </si>
  <si>
    <t>Юноши 13-19 (10.09.2004)/16</t>
  </si>
  <si>
    <t>Мастера 40-49 (10.09.1978)/42</t>
  </si>
  <si>
    <t>Юноши 13-19 (21.04.2004)/17</t>
  </si>
  <si>
    <t>Юноши 13-19 (22.10.2003)/17</t>
  </si>
  <si>
    <t>Юниоры 20-23 (14.10.1997)/23</t>
  </si>
  <si>
    <t>Юниоры 20-23 (28.02.2001)/20</t>
  </si>
  <si>
    <t>Мастера 40-49 (08.09.1974)/46</t>
  </si>
  <si>
    <t>Мастера 40-49 (08.03.1977)/44</t>
  </si>
  <si>
    <t>Юноши 13-19 (12.08.2003)/17</t>
  </si>
  <si>
    <t>Юниоры 20-23 (29.05.1999)/21</t>
  </si>
  <si>
    <t>Мастера 50-59 (26.06.1965)/55</t>
  </si>
  <si>
    <t>Юноши 13-19 (21.08.2001)/19</t>
  </si>
  <si>
    <t>Мастера 40-49 (05.04.1978)/43</t>
  </si>
  <si>
    <t>Мастера 50-59 (10.05.1962)/58</t>
  </si>
  <si>
    <t>Мастера 40-49 (16.05.1979)/41</t>
  </si>
  <si>
    <t>Юниоры 20-23 (17.03.1999)/22</t>
  </si>
  <si>
    <t>Мастера 40-49 (13.07.1980)/40</t>
  </si>
  <si>
    <t>Мастера 40-49 (22.03.1977)/44</t>
  </si>
  <si>
    <t xml:space="preserve">Юноши 13-19 </t>
  </si>
  <si>
    <t xml:space="preserve">Тропин Г. </t>
  </si>
  <si>
    <t>Бурлаков М.</t>
  </si>
  <si>
    <t xml:space="preserve">Шишкин И. </t>
  </si>
  <si>
    <t>Открытый Чемпионат Европы
WRPF любители Пауэрлифтинг без экипировки ДК
Москва, 8-9 мая 2021 года</t>
  </si>
  <si>
    <t>Открытый Чемпионат Европы
WRPF любители Пауэрлифтинг без экипировки
Москва, 8-9 мая 2021 года</t>
  </si>
  <si>
    <t>Открытый Чемпионат Европы
WRPF любители Пауэрлифтинг классический в бинтах ДК
Москва, 8-9 мая 2021 года</t>
  </si>
  <si>
    <t>Открытый Чемпионат Европы
WRPF любители Пауэрлифтинг классический в бинтах
Москва, 8-9 мая 2021 года</t>
  </si>
  <si>
    <t>Открытый Чемпионат Европы
WEPF любители Пауэрлифтинг в однослойной экипировке ДК
Москва, 8-9 мая 2021 года</t>
  </si>
  <si>
    <t>Открытый Чемпионат Европы
WEPF любители Пауэрлифтинг в однослойной экипировке
Москва, 8-9 мая 2021 года</t>
  </si>
  <si>
    <t>Открытый Чемпионат Европы
WRPF любители Силовое двоеборье без экипировки ДК
Москва, 8-9 мая 2021 года</t>
  </si>
  <si>
    <t>Открытый Чемпионат Европы
WRPF любители Силовое двоеборье без экипировки
Москва, 8-9 мая 2021 года</t>
  </si>
  <si>
    <t>Открытый Чемпионат Европы
WRPF любители Жим лежа без экипировки ДК
Москва, 8-9 мая 2021 года</t>
  </si>
  <si>
    <t>Открытый Чемпионат Европы
WRPF любители Жим лежа без экипировки
Москва, 8-9 мая 2021 года</t>
  </si>
  <si>
    <t>Открытый Чемпионат Европы
WEPF любители Жим лежа в однослойной экипировке ДК
Москва, 8-9 мая 2021 года</t>
  </si>
  <si>
    <t>Открытый Чемпионат Европы
WEPF Жим лежа в однопетельной софт экипировке ДК
Москва, 8-9 мая 2021 года</t>
  </si>
  <si>
    <t>Открытый Чемпионат Европы
WEPF Жим лежа в однопетельной софт экипировке
Москва, 8-9 мая 2021 года</t>
  </si>
  <si>
    <t>Открытый Чемпионат Европы
WEPF Жим лежа в многопетельной софт экипировке ДК
Москва, 8-9 мая 2021 года</t>
  </si>
  <si>
    <t>Открытый Чемпионат Европы
WEPF Жим лежа в многопетельной софт экипировке
Москва, 8-9 мая 2021 года</t>
  </si>
  <si>
    <t>Открытый Чемпионат Европы
WRPF Жим лежа СФО
Москва, 8-9 мая 2021 года</t>
  </si>
  <si>
    <t>Открытый Чемпионат Европы
WRPF любители Становая тяга без экипировки ДК
Москва, 8-9 мая 2021 года</t>
  </si>
  <si>
    <t>Открытый Чемпионат Европы
WRPF любители Становая тяга без экипировки
Москва, 8-9 мая 2021 года</t>
  </si>
  <si>
    <t>Открытый Чемпионат Европы
WRPF Строгий подъем штанги на бицепс
Москва, 8-9 мая 2021 года</t>
  </si>
  <si>
    <t>№</t>
  </si>
  <si>
    <t xml:space="preserve">Подольск </t>
  </si>
  <si>
    <t xml:space="preserve">Москва </t>
  </si>
  <si>
    <t xml:space="preserve">Старая Купавна </t>
  </si>
  <si>
    <t xml:space="preserve">Казань </t>
  </si>
  <si>
    <t xml:space="preserve">Нижний Новгород </t>
  </si>
  <si>
    <t xml:space="preserve">Саянск </t>
  </si>
  <si>
    <t xml:space="preserve">Правдинский </t>
  </si>
  <si>
    <t xml:space="preserve">Нахабино </t>
  </si>
  <si>
    <t xml:space="preserve">Пушкино </t>
  </si>
  <si>
    <t xml:space="preserve">Люберцы </t>
  </si>
  <si>
    <t xml:space="preserve">Иваново </t>
  </si>
  <si>
    <t xml:space="preserve">Бор </t>
  </si>
  <si>
    <t xml:space="preserve">Иркутск </t>
  </si>
  <si>
    <t xml:space="preserve">Губкинский </t>
  </si>
  <si>
    <t xml:space="preserve">Раменское </t>
  </si>
  <si>
    <t xml:space="preserve">Воскресенск </t>
  </si>
  <si>
    <t xml:space="preserve">Дзержинск </t>
  </si>
  <si>
    <t xml:space="preserve">Керчь </t>
  </si>
  <si>
    <t xml:space="preserve">Балашиха </t>
  </si>
  <si>
    <t xml:space="preserve">Монино </t>
  </si>
  <si>
    <t xml:space="preserve">Брянск </t>
  </si>
  <si>
    <t xml:space="preserve">Барнаул </t>
  </si>
  <si>
    <t xml:space="preserve">Вологда </t>
  </si>
  <si>
    <t xml:space="preserve">Вязники </t>
  </si>
  <si>
    <t xml:space="preserve">Зеленоград </t>
  </si>
  <si>
    <t xml:space="preserve">Балашов </t>
  </si>
  <si>
    <t xml:space="preserve">Геленджик </t>
  </si>
  <si>
    <t xml:space="preserve">Химки </t>
  </si>
  <si>
    <t xml:space="preserve">Луганск </t>
  </si>
  <si>
    <t xml:space="preserve">Усинск </t>
  </si>
  <si>
    <t xml:space="preserve">Костерёво </t>
  </si>
  <si>
    <t xml:space="preserve">Ярославль </t>
  </si>
  <si>
    <t xml:space="preserve">Красноярск </t>
  </si>
  <si>
    <t xml:space="preserve">Симферополь </t>
  </si>
  <si>
    <t xml:space="preserve">Липецк </t>
  </si>
  <si>
    <t xml:space="preserve">Хабаровск </t>
  </si>
  <si>
    <t xml:space="preserve">Пермь </t>
  </si>
  <si>
    <t xml:space="preserve">Новомосковск </t>
  </si>
  <si>
    <t xml:space="preserve">Воронеж </t>
  </si>
  <si>
    <t xml:space="preserve">Ростов-на-Дону </t>
  </si>
  <si>
    <t xml:space="preserve">Тюмень </t>
  </si>
  <si>
    <t xml:space="preserve">Новоалтайск </t>
  </si>
  <si>
    <t xml:space="preserve">Дзержинский </t>
  </si>
  <si>
    <t xml:space="preserve">Ряжск </t>
  </si>
  <si>
    <t xml:space="preserve">Смоленск </t>
  </si>
  <si>
    <t xml:space="preserve">Одинцово </t>
  </si>
  <si>
    <t xml:space="preserve">Тула </t>
  </si>
  <si>
    <t xml:space="preserve">Реутов </t>
  </si>
  <si>
    <t xml:space="preserve">Чехов </t>
  </si>
  <si>
    <t xml:space="preserve">Андреевка </t>
  </si>
  <si>
    <t xml:space="preserve">Солнечногорск </t>
  </si>
  <si>
    <t xml:space="preserve">Весьегонск </t>
  </si>
  <si>
    <t xml:space="preserve">Протвино </t>
  </si>
  <si>
    <t xml:space="preserve">Великие Луки </t>
  </si>
  <si>
    <t xml:space="preserve"> Истра </t>
  </si>
  <si>
    <t xml:space="preserve">Махачкала </t>
  </si>
  <si>
    <t xml:space="preserve">Серпухов </t>
  </si>
  <si>
    <t xml:space="preserve">Кировское </t>
  </si>
  <si>
    <t xml:space="preserve">Ступино </t>
  </si>
  <si>
    <t xml:space="preserve">Алкадар </t>
  </si>
  <si>
    <t xml:space="preserve">Надым </t>
  </si>
  <si>
    <t xml:space="preserve">Наро-Фоминск </t>
  </si>
  <si>
    <t xml:space="preserve">Тольятти </t>
  </si>
  <si>
    <t xml:space="preserve">Белгород </t>
  </si>
  <si>
    <t xml:space="preserve">Партизанск </t>
  </si>
  <si>
    <t xml:space="preserve">Климовск </t>
  </si>
  <si>
    <t xml:space="preserve">Обнинск </t>
  </si>
  <si>
    <t xml:space="preserve">Тында </t>
  </si>
  <si>
    <t xml:space="preserve">Санкт-Петербург </t>
  </si>
  <si>
    <t xml:space="preserve">Дмитров </t>
  </si>
  <si>
    <t xml:space="preserve">Ухта </t>
  </si>
  <si>
    <t xml:space="preserve">Красногорск </t>
  </si>
  <si>
    <t xml:space="preserve">Долгопрудный </t>
  </si>
  <si>
    <t xml:space="preserve">Батайск </t>
  </si>
  <si>
    <t xml:space="preserve">Жуков </t>
  </si>
  <si>
    <t xml:space="preserve">Камышлов </t>
  </si>
  <si>
    <t xml:space="preserve">Орёл </t>
  </si>
  <si>
    <t xml:space="preserve">Пенза </t>
  </si>
  <si>
    <t xml:space="preserve">Можайск </t>
  </si>
  <si>
    <t xml:space="preserve">Новый Уренгой </t>
  </si>
  <si>
    <t xml:space="preserve">Донской </t>
  </si>
  <si>
    <t xml:space="preserve">Кемерово </t>
  </si>
  <si>
    <t xml:space="preserve">Лосино-Петровский </t>
  </si>
  <si>
    <t xml:space="preserve">Калининград </t>
  </si>
  <si>
    <t xml:space="preserve">Калуга </t>
  </si>
  <si>
    <t xml:space="preserve">Монино  </t>
  </si>
  <si>
    <t xml:space="preserve">Самара </t>
  </si>
  <si>
    <t xml:space="preserve">Мытищи </t>
  </si>
  <si>
    <t xml:space="preserve">Александров </t>
  </si>
  <si>
    <t xml:space="preserve">Уфа </t>
  </si>
  <si>
    <t xml:space="preserve">Рязань </t>
  </si>
  <si>
    <t xml:space="preserve">Северск </t>
  </si>
  <si>
    <t xml:space="preserve">Королёв </t>
  </si>
  <si>
    <t xml:space="preserve">Сергиев Посад </t>
  </si>
  <si>
    <t xml:space="preserve">Дятьково </t>
  </si>
  <si>
    <t xml:space="preserve">Соликамск </t>
  </si>
  <si>
    <t xml:space="preserve">Родники </t>
  </si>
  <si>
    <t xml:space="preserve">Вичуга </t>
  </si>
  <si>
    <t xml:space="preserve">Электросталь </t>
  </si>
  <si>
    <t xml:space="preserve">Шуя </t>
  </si>
  <si>
    <t xml:space="preserve">Кохма </t>
  </si>
  <si>
    <t xml:space="preserve">Тырныауз </t>
  </si>
  <si>
    <t xml:space="preserve">Ессентуки </t>
  </si>
  <si>
    <t xml:space="preserve">Собинка </t>
  </si>
  <si>
    <t xml:space="preserve">Губкин </t>
  </si>
  <si>
    <t xml:space="preserve">Таганрог </t>
  </si>
  <si>
    <t xml:space="preserve">Челябинск </t>
  </si>
  <si>
    <t xml:space="preserve">Лобня </t>
  </si>
  <si>
    <t xml:space="preserve">Владикавказ </t>
  </si>
  <si>
    <t xml:space="preserve">Мурманск </t>
  </si>
  <si>
    <t xml:space="preserve">Сальск </t>
  </si>
  <si>
    <t xml:space="preserve">Щёлкино </t>
  </si>
  <si>
    <t xml:space="preserve">Горячий Ключ </t>
  </si>
  <si>
    <t xml:space="preserve">Новороссийск </t>
  </si>
  <si>
    <t xml:space="preserve">Могилев </t>
  </si>
  <si>
    <t xml:space="preserve">Брест </t>
  </si>
  <si>
    <t xml:space="preserve">Береза </t>
  </si>
  <si>
    <t xml:space="preserve">Минск </t>
  </si>
  <si>
    <t xml:space="preserve">Бобруйск </t>
  </si>
  <si>
    <t xml:space="preserve">Гомель </t>
  </si>
  <si>
    <t xml:space="preserve">Лида </t>
  </si>
  <si>
    <t xml:space="preserve">Мозырь </t>
  </si>
  <si>
    <t xml:space="preserve">Гродно </t>
  </si>
  <si>
    <t xml:space="preserve">Витебск </t>
  </si>
  <si>
    <t xml:space="preserve">Донецк </t>
  </si>
  <si>
    <t xml:space="preserve">Кишинев </t>
  </si>
  <si>
    <t xml:space="preserve">Баку </t>
  </si>
  <si>
    <t xml:space="preserve">Гюмри </t>
  </si>
  <si>
    <t xml:space="preserve">Ереван </t>
  </si>
  <si>
    <t xml:space="preserve">Tehran </t>
  </si>
  <si>
    <t xml:space="preserve">Душанбе </t>
  </si>
  <si>
    <t xml:space="preserve">
Дата рождения/Возраст</t>
  </si>
  <si>
    <t>Возрастная группа</t>
  </si>
  <si>
    <t>T2</t>
  </si>
  <si>
    <t>O</t>
  </si>
  <si>
    <t>M1</t>
  </si>
  <si>
    <t>T1</t>
  </si>
  <si>
    <t>J</t>
  </si>
  <si>
    <t>M2</t>
  </si>
  <si>
    <t>M4</t>
  </si>
  <si>
    <t>M3</t>
  </si>
  <si>
    <t>T</t>
  </si>
  <si>
    <t>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</si>
</sst>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U107"/>
  <sheetViews>
    <sheetView workbookViewId="0">
      <selection activeCell="E91" sqref="E91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30" bestFit="1" customWidth="1"/>
    <col min="20" max="20" width="8.5" style="6" bestFit="1" customWidth="1"/>
    <col min="21" max="21" width="23.5" style="5" bestFit="1" customWidth="1"/>
    <col min="22" max="16384" width="9.1640625" style="3"/>
  </cols>
  <sheetData>
    <row r="1" spans="1:21" s="2" customFormat="1" ht="29" customHeight="1">
      <c r="A1" s="35" t="s">
        <v>1469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2"/>
    </row>
    <row r="3" spans="1:21" s="1" customFormat="1" ht="12.75" customHeight="1">
      <c r="A3" s="43" t="s">
        <v>1488</v>
      </c>
      <c r="B3" s="55" t="s">
        <v>0</v>
      </c>
      <c r="C3" s="45" t="s">
        <v>1620</v>
      </c>
      <c r="D3" s="45" t="s">
        <v>5</v>
      </c>
      <c r="E3" s="47" t="s">
        <v>1621</v>
      </c>
      <c r="F3" s="47" t="s">
        <v>6</v>
      </c>
      <c r="G3" s="47" t="s">
        <v>7</v>
      </c>
      <c r="H3" s="47"/>
      <c r="I3" s="47"/>
      <c r="J3" s="47"/>
      <c r="K3" s="47" t="s">
        <v>8</v>
      </c>
      <c r="L3" s="47"/>
      <c r="M3" s="47"/>
      <c r="N3" s="47"/>
      <c r="O3" s="47" t="s">
        <v>9</v>
      </c>
      <c r="P3" s="47"/>
      <c r="Q3" s="47"/>
      <c r="R3" s="47"/>
      <c r="S3" s="49" t="s">
        <v>1</v>
      </c>
      <c r="T3" s="47" t="s">
        <v>3</v>
      </c>
      <c r="U3" s="51" t="s">
        <v>2</v>
      </c>
    </row>
    <row r="4" spans="1:21" s="1" customFormat="1" ht="21" customHeight="1" thickBot="1">
      <c r="A4" s="44"/>
      <c r="B4" s="56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46"/>
      <c r="U4" s="52"/>
    </row>
    <row r="5" spans="1:21" ht="16">
      <c r="A5" s="53" t="s">
        <v>342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1">
      <c r="A6" s="10" t="s">
        <v>165</v>
      </c>
      <c r="B6" s="9" t="s">
        <v>343</v>
      </c>
      <c r="C6" s="9" t="s">
        <v>344</v>
      </c>
      <c r="D6" s="9" t="s">
        <v>345</v>
      </c>
      <c r="E6" s="9" t="s">
        <v>1622</v>
      </c>
      <c r="F6" s="9" t="s">
        <v>1489</v>
      </c>
      <c r="G6" s="22" t="s">
        <v>181</v>
      </c>
      <c r="H6" s="22" t="s">
        <v>346</v>
      </c>
      <c r="I6" s="23" t="s">
        <v>347</v>
      </c>
      <c r="J6" s="10"/>
      <c r="K6" s="23" t="s">
        <v>348</v>
      </c>
      <c r="L6" s="22" t="s">
        <v>348</v>
      </c>
      <c r="M6" s="23" t="s">
        <v>349</v>
      </c>
      <c r="N6" s="10"/>
      <c r="O6" s="23" t="s">
        <v>181</v>
      </c>
      <c r="P6" s="23" t="s">
        <v>181</v>
      </c>
      <c r="Q6" s="22" t="s">
        <v>181</v>
      </c>
      <c r="R6" s="10"/>
      <c r="S6" s="31" t="str">
        <f>"225,0"</f>
        <v>225,0</v>
      </c>
      <c r="T6" s="10" t="str">
        <f>"313,4700"</f>
        <v>313,4700</v>
      </c>
      <c r="U6" s="9" t="s">
        <v>350</v>
      </c>
    </row>
    <row r="7" spans="1:21">
      <c r="A7" s="14" t="s">
        <v>165</v>
      </c>
      <c r="B7" s="13" t="s">
        <v>351</v>
      </c>
      <c r="C7" s="13" t="s">
        <v>352</v>
      </c>
      <c r="D7" s="13" t="s">
        <v>353</v>
      </c>
      <c r="E7" s="13" t="s">
        <v>1623</v>
      </c>
      <c r="F7" s="13" t="s">
        <v>1490</v>
      </c>
      <c r="G7" s="27" t="s">
        <v>179</v>
      </c>
      <c r="H7" s="27" t="s">
        <v>252</v>
      </c>
      <c r="I7" s="26" t="s">
        <v>181</v>
      </c>
      <c r="J7" s="14"/>
      <c r="K7" s="27" t="s">
        <v>348</v>
      </c>
      <c r="L7" s="27" t="s">
        <v>349</v>
      </c>
      <c r="M7" s="27" t="s">
        <v>354</v>
      </c>
      <c r="N7" s="14"/>
      <c r="O7" s="27" t="s">
        <v>181</v>
      </c>
      <c r="P7" s="27" t="s">
        <v>347</v>
      </c>
      <c r="Q7" s="27" t="s">
        <v>220</v>
      </c>
      <c r="R7" s="14"/>
      <c r="S7" s="32" t="str">
        <f>"232,5"</f>
        <v>232,5</v>
      </c>
      <c r="T7" s="14" t="str">
        <f>"310,7827"</f>
        <v>310,7827</v>
      </c>
      <c r="U7" s="13" t="s">
        <v>355</v>
      </c>
    </row>
    <row r="8" spans="1:21">
      <c r="B8" s="5" t="s">
        <v>166</v>
      </c>
    </row>
    <row r="9" spans="1:21" ht="16">
      <c r="A9" s="48" t="s">
        <v>356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21">
      <c r="A10" s="8" t="s">
        <v>165</v>
      </c>
      <c r="B10" s="7" t="s">
        <v>357</v>
      </c>
      <c r="C10" s="7" t="s">
        <v>358</v>
      </c>
      <c r="D10" s="7" t="s">
        <v>359</v>
      </c>
      <c r="E10" s="7" t="s">
        <v>1623</v>
      </c>
      <c r="F10" s="7" t="s">
        <v>1490</v>
      </c>
      <c r="G10" s="20" t="s">
        <v>17</v>
      </c>
      <c r="H10" s="21" t="s">
        <v>17</v>
      </c>
      <c r="I10" s="21" t="s">
        <v>179</v>
      </c>
      <c r="J10" s="8"/>
      <c r="K10" s="21" t="s">
        <v>360</v>
      </c>
      <c r="L10" s="20" t="s">
        <v>176</v>
      </c>
      <c r="M10" s="21" t="s">
        <v>361</v>
      </c>
      <c r="N10" s="8"/>
      <c r="O10" s="21" t="s">
        <v>17</v>
      </c>
      <c r="P10" s="21" t="s">
        <v>179</v>
      </c>
      <c r="Q10" s="20" t="s">
        <v>180</v>
      </c>
      <c r="R10" s="8"/>
      <c r="S10" s="33" t="str">
        <f>"195,0"</f>
        <v>195,0</v>
      </c>
      <c r="T10" s="8" t="str">
        <f>"245,2710"</f>
        <v>245,2710</v>
      </c>
      <c r="U10" s="7" t="s">
        <v>362</v>
      </c>
    </row>
    <row r="11" spans="1:21">
      <c r="B11" s="5" t="s">
        <v>166</v>
      </c>
    </row>
    <row r="12" spans="1:21" ht="16">
      <c r="A12" s="48" t="s">
        <v>171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21">
      <c r="A13" s="10" t="s">
        <v>165</v>
      </c>
      <c r="B13" s="9" t="s">
        <v>363</v>
      </c>
      <c r="C13" s="9" t="s">
        <v>364</v>
      </c>
      <c r="D13" s="9" t="s">
        <v>365</v>
      </c>
      <c r="E13" s="9" t="s">
        <v>1623</v>
      </c>
      <c r="F13" s="9" t="s">
        <v>1490</v>
      </c>
      <c r="G13" s="22" t="s">
        <v>252</v>
      </c>
      <c r="H13" s="22" t="s">
        <v>346</v>
      </c>
      <c r="I13" s="23" t="s">
        <v>220</v>
      </c>
      <c r="J13" s="10"/>
      <c r="K13" s="22" t="s">
        <v>349</v>
      </c>
      <c r="L13" s="22" t="s">
        <v>366</v>
      </c>
      <c r="M13" s="23" t="s">
        <v>188</v>
      </c>
      <c r="N13" s="10"/>
      <c r="O13" s="22" t="s">
        <v>186</v>
      </c>
      <c r="P13" s="22" t="s">
        <v>367</v>
      </c>
      <c r="Q13" s="22" t="s">
        <v>62</v>
      </c>
      <c r="R13" s="10"/>
      <c r="S13" s="31" t="str">
        <f>"262,5"</f>
        <v>262,5</v>
      </c>
      <c r="T13" s="10" t="str">
        <f>"308,8575"</f>
        <v>308,8575</v>
      </c>
      <c r="U13" s="9" t="s">
        <v>264</v>
      </c>
    </row>
    <row r="14" spans="1:21">
      <c r="A14" s="12" t="s">
        <v>167</v>
      </c>
      <c r="B14" s="11" t="s">
        <v>368</v>
      </c>
      <c r="C14" s="11" t="s">
        <v>369</v>
      </c>
      <c r="D14" s="11" t="s">
        <v>370</v>
      </c>
      <c r="E14" s="11" t="s">
        <v>1623</v>
      </c>
      <c r="F14" s="11" t="s">
        <v>1490</v>
      </c>
      <c r="G14" s="25" t="s">
        <v>371</v>
      </c>
      <c r="H14" s="24" t="s">
        <v>372</v>
      </c>
      <c r="I14" s="24" t="s">
        <v>372</v>
      </c>
      <c r="J14" s="12"/>
      <c r="K14" s="25" t="s">
        <v>361</v>
      </c>
      <c r="L14" s="24" t="s">
        <v>177</v>
      </c>
      <c r="M14" s="24" t="s">
        <v>177</v>
      </c>
      <c r="N14" s="12"/>
      <c r="O14" s="25" t="s">
        <v>220</v>
      </c>
      <c r="P14" s="24" t="s">
        <v>186</v>
      </c>
      <c r="Q14" s="25" t="s">
        <v>186</v>
      </c>
      <c r="R14" s="12"/>
      <c r="S14" s="34" t="str">
        <f>"217,5"</f>
        <v>217,5</v>
      </c>
      <c r="T14" s="12" t="str">
        <f>"258,4553"</f>
        <v>258,4553</v>
      </c>
      <c r="U14" s="11" t="s">
        <v>373</v>
      </c>
    </row>
    <row r="15" spans="1:21">
      <c r="A15" s="14" t="s">
        <v>165</v>
      </c>
      <c r="B15" s="13" t="s">
        <v>363</v>
      </c>
      <c r="C15" s="13" t="s">
        <v>374</v>
      </c>
      <c r="D15" s="13" t="s">
        <v>365</v>
      </c>
      <c r="E15" s="13" t="s">
        <v>1624</v>
      </c>
      <c r="F15" s="13" t="s">
        <v>1490</v>
      </c>
      <c r="G15" s="27" t="s">
        <v>252</v>
      </c>
      <c r="H15" s="27" t="s">
        <v>346</v>
      </c>
      <c r="I15" s="26" t="s">
        <v>220</v>
      </c>
      <c r="J15" s="14"/>
      <c r="K15" s="27" t="s">
        <v>349</v>
      </c>
      <c r="L15" s="27" t="s">
        <v>366</v>
      </c>
      <c r="M15" s="26" t="s">
        <v>188</v>
      </c>
      <c r="N15" s="14"/>
      <c r="O15" s="27" t="s">
        <v>186</v>
      </c>
      <c r="P15" s="27" t="s">
        <v>367</v>
      </c>
      <c r="Q15" s="27" t="s">
        <v>62</v>
      </c>
      <c r="R15" s="14"/>
      <c r="S15" s="32" t="str">
        <f>"262,5"</f>
        <v>262,5</v>
      </c>
      <c r="T15" s="14" t="str">
        <f>"313,1815"</f>
        <v>313,1815</v>
      </c>
      <c r="U15" s="13" t="s">
        <v>264</v>
      </c>
    </row>
    <row r="16" spans="1:21">
      <c r="B16" s="5" t="s">
        <v>166</v>
      </c>
    </row>
    <row r="17" spans="1:21" ht="16">
      <c r="A17" s="48" t="s">
        <v>183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1:21">
      <c r="A18" s="10" t="s">
        <v>169</v>
      </c>
      <c r="B18" s="9" t="s">
        <v>375</v>
      </c>
      <c r="C18" s="9" t="s">
        <v>376</v>
      </c>
      <c r="D18" s="9" t="s">
        <v>377</v>
      </c>
      <c r="E18" s="9" t="s">
        <v>1625</v>
      </c>
      <c r="F18" s="9" t="s">
        <v>1490</v>
      </c>
      <c r="G18" s="23" t="s">
        <v>220</v>
      </c>
      <c r="H18" s="23" t="s">
        <v>220</v>
      </c>
      <c r="I18" s="23" t="s">
        <v>220</v>
      </c>
      <c r="J18" s="10"/>
      <c r="K18" s="10"/>
      <c r="L18" s="10"/>
      <c r="M18" s="23"/>
      <c r="N18" s="10"/>
      <c r="O18" s="10"/>
      <c r="P18" s="10"/>
      <c r="Q18" s="10"/>
      <c r="R18" s="10"/>
      <c r="S18" s="31">
        <v>0</v>
      </c>
      <c r="T18" s="10" t="str">
        <f>"0,0000"</f>
        <v>0,0000</v>
      </c>
      <c r="U18" s="9" t="s">
        <v>264</v>
      </c>
    </row>
    <row r="19" spans="1:21">
      <c r="A19" s="12" t="s">
        <v>165</v>
      </c>
      <c r="B19" s="11" t="s">
        <v>378</v>
      </c>
      <c r="C19" s="11" t="s">
        <v>379</v>
      </c>
      <c r="D19" s="11" t="s">
        <v>185</v>
      </c>
      <c r="E19" s="11" t="s">
        <v>1623</v>
      </c>
      <c r="F19" s="11" t="s">
        <v>1490</v>
      </c>
      <c r="G19" s="25" t="s">
        <v>186</v>
      </c>
      <c r="H19" s="25" t="s">
        <v>62</v>
      </c>
      <c r="I19" s="24" t="s">
        <v>97</v>
      </c>
      <c r="J19" s="12"/>
      <c r="K19" s="25" t="s">
        <v>179</v>
      </c>
      <c r="L19" s="25" t="s">
        <v>252</v>
      </c>
      <c r="M19" s="25" t="s">
        <v>180</v>
      </c>
      <c r="N19" s="12"/>
      <c r="O19" s="25" t="s">
        <v>62</v>
      </c>
      <c r="P19" s="25" t="s">
        <v>97</v>
      </c>
      <c r="Q19" s="25" t="s">
        <v>204</v>
      </c>
      <c r="R19" s="12"/>
      <c r="S19" s="34" t="str">
        <f>"345,0"</f>
        <v>345,0</v>
      </c>
      <c r="T19" s="12" t="str">
        <f>"384,6405"</f>
        <v>384,6405</v>
      </c>
      <c r="U19" s="11" t="s">
        <v>355</v>
      </c>
    </row>
    <row r="20" spans="1:21">
      <c r="A20" s="12" t="s">
        <v>167</v>
      </c>
      <c r="B20" s="11" t="s">
        <v>380</v>
      </c>
      <c r="C20" s="11" t="s">
        <v>381</v>
      </c>
      <c r="D20" s="11" t="s">
        <v>382</v>
      </c>
      <c r="E20" s="11" t="s">
        <v>1623</v>
      </c>
      <c r="F20" s="11" t="s">
        <v>1490</v>
      </c>
      <c r="G20" s="24" t="s">
        <v>186</v>
      </c>
      <c r="H20" s="24" t="s">
        <v>186</v>
      </c>
      <c r="I20" s="25" t="s">
        <v>186</v>
      </c>
      <c r="J20" s="12"/>
      <c r="K20" s="25" t="s">
        <v>175</v>
      </c>
      <c r="L20" s="24" t="s">
        <v>16</v>
      </c>
      <c r="M20" s="24" t="s">
        <v>16</v>
      </c>
      <c r="N20" s="12"/>
      <c r="O20" s="25" t="s">
        <v>187</v>
      </c>
      <c r="P20" s="25" t="s">
        <v>266</v>
      </c>
      <c r="Q20" s="24" t="s">
        <v>98</v>
      </c>
      <c r="R20" s="12"/>
      <c r="S20" s="34" t="str">
        <f>"305,0"</f>
        <v>305,0</v>
      </c>
      <c r="T20" s="12" t="str">
        <f>"342,2405"</f>
        <v>342,2405</v>
      </c>
      <c r="U20" s="11" t="s">
        <v>264</v>
      </c>
    </row>
    <row r="21" spans="1:21">
      <c r="A21" s="12" t="s">
        <v>168</v>
      </c>
      <c r="B21" s="11" t="s">
        <v>383</v>
      </c>
      <c r="C21" s="11" t="s">
        <v>384</v>
      </c>
      <c r="D21" s="11" t="s">
        <v>385</v>
      </c>
      <c r="E21" s="11" t="s">
        <v>1623</v>
      </c>
      <c r="F21" s="11" t="s">
        <v>1491</v>
      </c>
      <c r="G21" s="25" t="s">
        <v>181</v>
      </c>
      <c r="H21" s="24" t="s">
        <v>347</v>
      </c>
      <c r="I21" s="24" t="s">
        <v>347</v>
      </c>
      <c r="J21" s="12"/>
      <c r="K21" s="24" t="s">
        <v>188</v>
      </c>
      <c r="L21" s="25" t="s">
        <v>188</v>
      </c>
      <c r="M21" s="24" t="s">
        <v>386</v>
      </c>
      <c r="N21" s="12"/>
      <c r="O21" s="25" t="s">
        <v>186</v>
      </c>
      <c r="P21" s="25" t="s">
        <v>62</v>
      </c>
      <c r="Q21" s="25" t="s">
        <v>271</v>
      </c>
      <c r="R21" s="12"/>
      <c r="S21" s="34" t="str">
        <f>"272,5"</f>
        <v>272,5</v>
      </c>
      <c r="T21" s="12" t="str">
        <f>"304,1917"</f>
        <v>304,1917</v>
      </c>
      <c r="U21" s="11" t="s">
        <v>387</v>
      </c>
    </row>
    <row r="22" spans="1:21">
      <c r="A22" s="14" t="s">
        <v>170</v>
      </c>
      <c r="B22" s="13" t="s">
        <v>388</v>
      </c>
      <c r="C22" s="13" t="s">
        <v>389</v>
      </c>
      <c r="D22" s="13" t="s">
        <v>390</v>
      </c>
      <c r="E22" s="13" t="s">
        <v>1623</v>
      </c>
      <c r="F22" s="13" t="s">
        <v>1489</v>
      </c>
      <c r="G22" s="26" t="s">
        <v>181</v>
      </c>
      <c r="H22" s="27" t="s">
        <v>181</v>
      </c>
      <c r="I22" s="26" t="s">
        <v>220</v>
      </c>
      <c r="J22" s="14"/>
      <c r="K22" s="27" t="s">
        <v>366</v>
      </c>
      <c r="L22" s="27" t="s">
        <v>188</v>
      </c>
      <c r="M22" s="27" t="s">
        <v>386</v>
      </c>
      <c r="N22" s="14"/>
      <c r="O22" s="27" t="s">
        <v>347</v>
      </c>
      <c r="P22" s="27" t="s">
        <v>229</v>
      </c>
      <c r="Q22" s="27" t="s">
        <v>391</v>
      </c>
      <c r="R22" s="14"/>
      <c r="S22" s="32" t="str">
        <f>"260,0"</f>
        <v>260,0</v>
      </c>
      <c r="T22" s="14" t="str">
        <f>"292,5260"</f>
        <v>292,5260</v>
      </c>
      <c r="U22" s="13" t="s">
        <v>264</v>
      </c>
    </row>
    <row r="23" spans="1:21">
      <c r="B23" s="5" t="s">
        <v>166</v>
      </c>
    </row>
    <row r="24" spans="1:21" ht="16">
      <c r="A24" s="48" t="s">
        <v>191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</row>
    <row r="25" spans="1:21">
      <c r="A25" s="10" t="s">
        <v>165</v>
      </c>
      <c r="B25" s="9" t="s">
        <v>392</v>
      </c>
      <c r="C25" s="9" t="s">
        <v>393</v>
      </c>
      <c r="D25" s="9" t="s">
        <v>394</v>
      </c>
      <c r="E25" s="9" t="s">
        <v>1625</v>
      </c>
      <c r="F25" s="9" t="s">
        <v>1490</v>
      </c>
      <c r="G25" s="22" t="s">
        <v>229</v>
      </c>
      <c r="H25" s="22" t="s">
        <v>395</v>
      </c>
      <c r="I25" s="23" t="s">
        <v>186</v>
      </c>
      <c r="J25" s="10"/>
      <c r="K25" s="22" t="s">
        <v>175</v>
      </c>
      <c r="L25" s="22" t="s">
        <v>396</v>
      </c>
      <c r="M25" s="22" t="s">
        <v>16</v>
      </c>
      <c r="N25" s="10"/>
      <c r="O25" s="22" t="s">
        <v>97</v>
      </c>
      <c r="P25" s="10"/>
      <c r="Q25" s="10"/>
      <c r="R25" s="10"/>
      <c r="S25" s="31" t="str">
        <f>"302,5"</f>
        <v>302,5</v>
      </c>
      <c r="T25" s="10" t="str">
        <f>"316,2638"</f>
        <v>316,2638</v>
      </c>
      <c r="U25" s="9" t="s">
        <v>264</v>
      </c>
    </row>
    <row r="26" spans="1:21">
      <c r="A26" s="12" t="s">
        <v>165</v>
      </c>
      <c r="B26" s="11" t="s">
        <v>397</v>
      </c>
      <c r="C26" s="11" t="s">
        <v>398</v>
      </c>
      <c r="D26" s="11" t="s">
        <v>399</v>
      </c>
      <c r="E26" s="11" t="s">
        <v>1626</v>
      </c>
      <c r="F26" s="11" t="s">
        <v>1492</v>
      </c>
      <c r="G26" s="25" t="s">
        <v>181</v>
      </c>
      <c r="H26" s="25" t="s">
        <v>220</v>
      </c>
      <c r="I26" s="25" t="s">
        <v>395</v>
      </c>
      <c r="J26" s="12"/>
      <c r="K26" s="25" t="s">
        <v>349</v>
      </c>
      <c r="L26" s="24" t="s">
        <v>366</v>
      </c>
      <c r="M26" s="25" t="s">
        <v>366</v>
      </c>
      <c r="N26" s="12"/>
      <c r="O26" s="25" t="s">
        <v>229</v>
      </c>
      <c r="P26" s="25" t="s">
        <v>367</v>
      </c>
      <c r="Q26" s="25" t="s">
        <v>200</v>
      </c>
      <c r="R26" s="12"/>
      <c r="S26" s="34" t="str">
        <f>"280,0"</f>
        <v>280,0</v>
      </c>
      <c r="T26" s="12" t="str">
        <f>"285,7680"</f>
        <v>285,7680</v>
      </c>
      <c r="U26" s="11" t="s">
        <v>400</v>
      </c>
    </row>
    <row r="27" spans="1:21">
      <c r="A27" s="12" t="s">
        <v>169</v>
      </c>
      <c r="B27" s="11" t="s">
        <v>401</v>
      </c>
      <c r="C27" s="11" t="s">
        <v>402</v>
      </c>
      <c r="D27" s="11" t="s">
        <v>403</v>
      </c>
      <c r="E27" s="11" t="s">
        <v>1626</v>
      </c>
      <c r="F27" s="11" t="s">
        <v>1493</v>
      </c>
      <c r="G27" s="24" t="s">
        <v>16</v>
      </c>
      <c r="H27" s="24" t="s">
        <v>16</v>
      </c>
      <c r="I27" s="24" t="s">
        <v>16</v>
      </c>
      <c r="J27" s="12"/>
      <c r="K27" s="24"/>
      <c r="L27" s="12"/>
      <c r="M27" s="12"/>
      <c r="N27" s="12"/>
      <c r="O27" s="24"/>
      <c r="P27" s="12"/>
      <c r="Q27" s="12"/>
      <c r="R27" s="12"/>
      <c r="S27" s="34">
        <v>0</v>
      </c>
      <c r="T27" s="12" t="str">
        <f>"0,0000"</f>
        <v>0,0000</v>
      </c>
      <c r="U27" s="11" t="s">
        <v>404</v>
      </c>
    </row>
    <row r="28" spans="1:21">
      <c r="A28" s="12" t="s">
        <v>165</v>
      </c>
      <c r="B28" s="11" t="s">
        <v>405</v>
      </c>
      <c r="C28" s="11" t="s">
        <v>406</v>
      </c>
      <c r="D28" s="11" t="s">
        <v>407</v>
      </c>
      <c r="E28" s="11" t="s">
        <v>1623</v>
      </c>
      <c r="F28" s="11" t="s">
        <v>1490</v>
      </c>
      <c r="G28" s="25" t="s">
        <v>367</v>
      </c>
      <c r="H28" s="25" t="s">
        <v>187</v>
      </c>
      <c r="I28" s="25" t="s">
        <v>234</v>
      </c>
      <c r="J28" s="12"/>
      <c r="K28" s="25" t="s">
        <v>16</v>
      </c>
      <c r="L28" s="25" t="s">
        <v>17</v>
      </c>
      <c r="M28" s="24" t="s">
        <v>18</v>
      </c>
      <c r="N28" s="12"/>
      <c r="O28" s="25" t="s">
        <v>187</v>
      </c>
      <c r="P28" s="25" t="s">
        <v>266</v>
      </c>
      <c r="Q28" s="24" t="s">
        <v>251</v>
      </c>
      <c r="R28" s="12"/>
      <c r="S28" s="34" t="str">
        <f>"337,5"</f>
        <v>337,5</v>
      </c>
      <c r="T28" s="12" t="str">
        <f>"345,5663"</f>
        <v>345,5663</v>
      </c>
      <c r="U28" s="11" t="s">
        <v>408</v>
      </c>
    </row>
    <row r="29" spans="1:21">
      <c r="A29" s="12" t="s">
        <v>167</v>
      </c>
      <c r="B29" s="11" t="s">
        <v>409</v>
      </c>
      <c r="C29" s="11" t="s">
        <v>410</v>
      </c>
      <c r="D29" s="11" t="s">
        <v>411</v>
      </c>
      <c r="E29" s="11" t="s">
        <v>1623</v>
      </c>
      <c r="F29" s="11" t="s">
        <v>1489</v>
      </c>
      <c r="G29" s="25" t="s">
        <v>62</v>
      </c>
      <c r="H29" s="24" t="s">
        <v>187</v>
      </c>
      <c r="I29" s="24" t="s">
        <v>97</v>
      </c>
      <c r="J29" s="12"/>
      <c r="K29" s="25" t="s">
        <v>396</v>
      </c>
      <c r="L29" s="24" t="s">
        <v>16</v>
      </c>
      <c r="M29" s="24" t="s">
        <v>16</v>
      </c>
      <c r="N29" s="12"/>
      <c r="O29" s="25" t="s">
        <v>266</v>
      </c>
      <c r="P29" s="25" t="s">
        <v>251</v>
      </c>
      <c r="Q29" s="25" t="s">
        <v>14</v>
      </c>
      <c r="R29" s="12"/>
      <c r="S29" s="34" t="str">
        <f>"332,5"</f>
        <v>332,5</v>
      </c>
      <c r="T29" s="12" t="str">
        <f>"351,2530"</f>
        <v>351,2530</v>
      </c>
      <c r="U29" s="11" t="s">
        <v>93</v>
      </c>
    </row>
    <row r="30" spans="1:21">
      <c r="A30" s="12" t="s">
        <v>168</v>
      </c>
      <c r="B30" s="11" t="s">
        <v>412</v>
      </c>
      <c r="C30" s="11" t="s">
        <v>413</v>
      </c>
      <c r="D30" s="11" t="s">
        <v>414</v>
      </c>
      <c r="E30" s="11" t="s">
        <v>1623</v>
      </c>
      <c r="F30" s="11" t="s">
        <v>1490</v>
      </c>
      <c r="G30" s="24" t="s">
        <v>229</v>
      </c>
      <c r="H30" s="25" t="s">
        <v>229</v>
      </c>
      <c r="I30" s="25" t="s">
        <v>367</v>
      </c>
      <c r="J30" s="12"/>
      <c r="K30" s="25" t="s">
        <v>366</v>
      </c>
      <c r="L30" s="24" t="s">
        <v>175</v>
      </c>
      <c r="M30" s="12"/>
      <c r="N30" s="12"/>
      <c r="O30" s="24" t="s">
        <v>367</v>
      </c>
      <c r="P30" s="25" t="s">
        <v>367</v>
      </c>
      <c r="Q30" s="25" t="s">
        <v>62</v>
      </c>
      <c r="R30" s="12"/>
      <c r="S30" s="34" t="str">
        <f>"285,0"</f>
        <v>285,0</v>
      </c>
      <c r="T30" s="12" t="str">
        <f>"295,6590"</f>
        <v>295,6590</v>
      </c>
      <c r="U30" s="11" t="s">
        <v>415</v>
      </c>
    </row>
    <row r="31" spans="1:21">
      <c r="A31" s="14" t="s">
        <v>165</v>
      </c>
      <c r="B31" s="13" t="s">
        <v>416</v>
      </c>
      <c r="C31" s="13" t="s">
        <v>417</v>
      </c>
      <c r="D31" s="13" t="s">
        <v>194</v>
      </c>
      <c r="E31" s="13" t="s">
        <v>1624</v>
      </c>
      <c r="F31" s="13" t="s">
        <v>1493</v>
      </c>
      <c r="G31" s="27" t="s">
        <v>367</v>
      </c>
      <c r="H31" s="27" t="s">
        <v>62</v>
      </c>
      <c r="I31" s="27" t="s">
        <v>187</v>
      </c>
      <c r="J31" s="14"/>
      <c r="K31" s="27" t="s">
        <v>386</v>
      </c>
      <c r="L31" s="26" t="s">
        <v>175</v>
      </c>
      <c r="M31" s="27" t="s">
        <v>175</v>
      </c>
      <c r="N31" s="14"/>
      <c r="O31" s="27" t="s">
        <v>98</v>
      </c>
      <c r="P31" s="27" t="s">
        <v>54</v>
      </c>
      <c r="Q31" s="27" t="s">
        <v>14</v>
      </c>
      <c r="R31" s="14"/>
      <c r="S31" s="32" t="str">
        <f>"335,0"</f>
        <v>335,0</v>
      </c>
      <c r="T31" s="14" t="str">
        <f>"348,4923"</f>
        <v>348,4923</v>
      </c>
      <c r="U31" s="13" t="s">
        <v>404</v>
      </c>
    </row>
    <row r="32" spans="1:21">
      <c r="B32" s="5" t="s">
        <v>166</v>
      </c>
    </row>
    <row r="33" spans="1:21" ht="16">
      <c r="A33" s="48" t="s">
        <v>64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</row>
    <row r="34" spans="1:21">
      <c r="A34" s="8" t="s">
        <v>169</v>
      </c>
      <c r="B34" s="7" t="s">
        <v>418</v>
      </c>
      <c r="C34" s="7" t="s">
        <v>419</v>
      </c>
      <c r="D34" s="7" t="s">
        <v>420</v>
      </c>
      <c r="E34" s="7" t="s">
        <v>1623</v>
      </c>
      <c r="F34" s="7" t="s">
        <v>1490</v>
      </c>
      <c r="G34" s="20" t="s">
        <v>220</v>
      </c>
      <c r="H34" s="20" t="s">
        <v>220</v>
      </c>
      <c r="I34" s="20" t="s">
        <v>220</v>
      </c>
      <c r="J34" s="8"/>
      <c r="K34" s="20"/>
      <c r="L34" s="8"/>
      <c r="M34" s="8"/>
      <c r="N34" s="8"/>
      <c r="O34" s="20"/>
      <c r="P34" s="8"/>
      <c r="Q34" s="8"/>
      <c r="R34" s="8"/>
      <c r="S34" s="33">
        <v>0</v>
      </c>
      <c r="T34" s="8" t="str">
        <f>"0,0000"</f>
        <v>0,0000</v>
      </c>
      <c r="U34" s="7" t="s">
        <v>264</v>
      </c>
    </row>
    <row r="35" spans="1:21">
      <c r="B35" s="5" t="s">
        <v>166</v>
      </c>
    </row>
    <row r="36" spans="1:21" ht="16">
      <c r="A36" s="48" t="s">
        <v>421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</row>
    <row r="37" spans="1:21">
      <c r="A37" s="8" t="s">
        <v>169</v>
      </c>
      <c r="B37" s="7" t="s">
        <v>422</v>
      </c>
      <c r="C37" s="7" t="s">
        <v>423</v>
      </c>
      <c r="D37" s="7" t="s">
        <v>424</v>
      </c>
      <c r="E37" s="7" t="s">
        <v>1623</v>
      </c>
      <c r="F37" s="7" t="s">
        <v>1490</v>
      </c>
      <c r="G37" s="20" t="s">
        <v>97</v>
      </c>
      <c r="H37" s="20" t="s">
        <v>97</v>
      </c>
      <c r="I37" s="20" t="s">
        <v>97</v>
      </c>
      <c r="J37" s="8"/>
      <c r="K37" s="20"/>
      <c r="L37" s="8"/>
      <c r="M37" s="8"/>
      <c r="N37" s="8"/>
      <c r="O37" s="20"/>
      <c r="P37" s="8"/>
      <c r="Q37" s="8"/>
      <c r="R37" s="8"/>
      <c r="S37" s="33">
        <v>0</v>
      </c>
      <c r="T37" s="8" t="str">
        <f>"0,0000"</f>
        <v>0,0000</v>
      </c>
      <c r="U37" s="7" t="s">
        <v>425</v>
      </c>
    </row>
    <row r="38" spans="1:21">
      <c r="B38" s="5" t="s">
        <v>166</v>
      </c>
    </row>
    <row r="39" spans="1:21" ht="16">
      <c r="A39" s="48" t="s">
        <v>356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</row>
    <row r="40" spans="1:21">
      <c r="A40" s="8" t="s">
        <v>165</v>
      </c>
      <c r="B40" s="7" t="s">
        <v>426</v>
      </c>
      <c r="C40" s="7" t="s">
        <v>427</v>
      </c>
      <c r="D40" s="7" t="s">
        <v>428</v>
      </c>
      <c r="E40" s="7" t="s">
        <v>1625</v>
      </c>
      <c r="F40" s="7" t="s">
        <v>1494</v>
      </c>
      <c r="G40" s="21" t="s">
        <v>188</v>
      </c>
      <c r="H40" s="21" t="s">
        <v>175</v>
      </c>
      <c r="I40" s="21" t="s">
        <v>16</v>
      </c>
      <c r="J40" s="8"/>
      <c r="K40" s="21" t="s">
        <v>361</v>
      </c>
      <c r="L40" s="21" t="s">
        <v>177</v>
      </c>
      <c r="M40" s="20" t="s">
        <v>178</v>
      </c>
      <c r="N40" s="8"/>
      <c r="O40" s="21" t="s">
        <v>16</v>
      </c>
      <c r="P40" s="21" t="s">
        <v>18</v>
      </c>
      <c r="Q40" s="21" t="s">
        <v>179</v>
      </c>
      <c r="R40" s="8"/>
      <c r="S40" s="33" t="str">
        <f>"182,5"</f>
        <v>182,5</v>
      </c>
      <c r="T40" s="8" t="str">
        <f>"180,9122"</f>
        <v>180,9122</v>
      </c>
      <c r="U40" s="7" t="s">
        <v>429</v>
      </c>
    </row>
    <row r="41" spans="1:21">
      <c r="B41" s="5" t="s">
        <v>166</v>
      </c>
    </row>
    <row r="42" spans="1:21" ht="16">
      <c r="A42" s="48" t="s">
        <v>171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</row>
    <row r="43" spans="1:21">
      <c r="A43" s="8" t="s">
        <v>165</v>
      </c>
      <c r="B43" s="7" t="s">
        <v>430</v>
      </c>
      <c r="C43" s="7" t="s">
        <v>431</v>
      </c>
      <c r="D43" s="7" t="s">
        <v>365</v>
      </c>
      <c r="E43" s="7" t="s">
        <v>1625</v>
      </c>
      <c r="F43" s="7" t="s">
        <v>1490</v>
      </c>
      <c r="G43" s="21" t="s">
        <v>181</v>
      </c>
      <c r="H43" s="20" t="s">
        <v>220</v>
      </c>
      <c r="I43" s="20" t="s">
        <v>220</v>
      </c>
      <c r="J43" s="8"/>
      <c r="K43" s="21" t="s">
        <v>175</v>
      </c>
      <c r="L43" s="21" t="s">
        <v>432</v>
      </c>
      <c r="M43" s="20" t="s">
        <v>371</v>
      </c>
      <c r="N43" s="8"/>
      <c r="O43" s="20" t="s">
        <v>97</v>
      </c>
      <c r="P43" s="20" t="s">
        <v>97</v>
      </c>
      <c r="Q43" s="21" t="s">
        <v>97</v>
      </c>
      <c r="R43" s="8"/>
      <c r="S43" s="33" t="str">
        <f>"287,5"</f>
        <v>287,5</v>
      </c>
      <c r="T43" s="8" t="str">
        <f>"261,7113"</f>
        <v>261,7113</v>
      </c>
      <c r="U43" s="7" t="s">
        <v>433</v>
      </c>
    </row>
    <row r="44" spans="1:21">
      <c r="B44" s="5" t="s">
        <v>166</v>
      </c>
    </row>
    <row r="45" spans="1:21" ht="16">
      <c r="A45" s="48" t="s">
        <v>191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</row>
    <row r="46" spans="1:21">
      <c r="A46" s="8" t="s">
        <v>165</v>
      </c>
      <c r="B46" s="7" t="s">
        <v>434</v>
      </c>
      <c r="C46" s="7" t="s">
        <v>435</v>
      </c>
      <c r="D46" s="7" t="s">
        <v>194</v>
      </c>
      <c r="E46" s="7" t="s">
        <v>1625</v>
      </c>
      <c r="F46" s="7" t="s">
        <v>1490</v>
      </c>
      <c r="G46" s="21" t="s">
        <v>179</v>
      </c>
      <c r="H46" s="21" t="s">
        <v>181</v>
      </c>
      <c r="I46" s="21" t="s">
        <v>347</v>
      </c>
      <c r="J46" s="8"/>
      <c r="K46" s="21" t="s">
        <v>179</v>
      </c>
      <c r="L46" s="21" t="s">
        <v>252</v>
      </c>
      <c r="M46" s="20" t="s">
        <v>181</v>
      </c>
      <c r="N46" s="8"/>
      <c r="O46" s="21" t="s">
        <v>347</v>
      </c>
      <c r="P46" s="21" t="s">
        <v>186</v>
      </c>
      <c r="Q46" s="21" t="s">
        <v>199</v>
      </c>
      <c r="R46" s="8"/>
      <c r="S46" s="33" t="str">
        <f>"297,5"</f>
        <v>297,5</v>
      </c>
      <c r="T46" s="8" t="str">
        <f>"233,0020"</f>
        <v>233,0020</v>
      </c>
      <c r="U46" s="7" t="s">
        <v>264</v>
      </c>
    </row>
    <row r="47" spans="1:21">
      <c r="B47" s="5" t="s">
        <v>166</v>
      </c>
    </row>
    <row r="48" spans="1:21" ht="16">
      <c r="A48" s="48" t="s">
        <v>22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</row>
    <row r="49" spans="1:21">
      <c r="A49" s="10" t="s">
        <v>165</v>
      </c>
      <c r="B49" s="9" t="s">
        <v>436</v>
      </c>
      <c r="C49" s="9" t="s">
        <v>437</v>
      </c>
      <c r="D49" s="9" t="s">
        <v>270</v>
      </c>
      <c r="E49" s="9" t="s">
        <v>1626</v>
      </c>
      <c r="F49" s="9" t="s">
        <v>1491</v>
      </c>
      <c r="G49" s="22" t="s">
        <v>14</v>
      </c>
      <c r="H49" s="22" t="s">
        <v>19</v>
      </c>
      <c r="I49" s="23" t="s">
        <v>37</v>
      </c>
      <c r="J49" s="10"/>
      <c r="K49" s="22" t="s">
        <v>391</v>
      </c>
      <c r="L49" s="22" t="s">
        <v>199</v>
      </c>
      <c r="M49" s="22" t="s">
        <v>187</v>
      </c>
      <c r="N49" s="10"/>
      <c r="O49" s="22" t="s">
        <v>20</v>
      </c>
      <c r="P49" s="23" t="s">
        <v>21</v>
      </c>
      <c r="Q49" s="22" t="s">
        <v>61</v>
      </c>
      <c r="R49" s="10"/>
      <c r="S49" s="31" t="str">
        <f>"490,0"</f>
        <v>490,0</v>
      </c>
      <c r="T49" s="10" t="str">
        <f>"349,4680"</f>
        <v>349,4680</v>
      </c>
      <c r="U49" s="9" t="s">
        <v>387</v>
      </c>
    </row>
    <row r="50" spans="1:21">
      <c r="A50" s="12" t="s">
        <v>167</v>
      </c>
      <c r="B50" s="11" t="s">
        <v>438</v>
      </c>
      <c r="C50" s="11" t="s">
        <v>439</v>
      </c>
      <c r="D50" s="11" t="s">
        <v>440</v>
      </c>
      <c r="E50" s="11" t="s">
        <v>1626</v>
      </c>
      <c r="F50" s="11" t="s">
        <v>1490</v>
      </c>
      <c r="G50" s="25" t="s">
        <v>14</v>
      </c>
      <c r="H50" s="25" t="s">
        <v>19</v>
      </c>
      <c r="I50" s="24" t="s">
        <v>20</v>
      </c>
      <c r="J50" s="12"/>
      <c r="K50" s="24" t="s">
        <v>347</v>
      </c>
      <c r="L50" s="25" t="s">
        <v>347</v>
      </c>
      <c r="M50" s="24" t="s">
        <v>220</v>
      </c>
      <c r="N50" s="12"/>
      <c r="O50" s="25" t="s">
        <v>37</v>
      </c>
      <c r="P50" s="25" t="s">
        <v>75</v>
      </c>
      <c r="Q50" s="25" t="s">
        <v>61</v>
      </c>
      <c r="R50" s="12"/>
      <c r="S50" s="34" t="str">
        <f>"460,0"</f>
        <v>460,0</v>
      </c>
      <c r="T50" s="12" t="str">
        <f>"331,8440"</f>
        <v>331,8440</v>
      </c>
      <c r="U50" s="11" t="s">
        <v>264</v>
      </c>
    </row>
    <row r="51" spans="1:21">
      <c r="A51" s="12" t="s">
        <v>168</v>
      </c>
      <c r="B51" s="11" t="s">
        <v>441</v>
      </c>
      <c r="C51" s="11" t="s">
        <v>442</v>
      </c>
      <c r="D51" s="11" t="s">
        <v>443</v>
      </c>
      <c r="E51" s="11" t="s">
        <v>1626</v>
      </c>
      <c r="F51" s="11" t="s">
        <v>1493</v>
      </c>
      <c r="G51" s="25" t="s">
        <v>62</v>
      </c>
      <c r="H51" s="25" t="s">
        <v>97</v>
      </c>
      <c r="I51" s="25" t="s">
        <v>234</v>
      </c>
      <c r="J51" s="12"/>
      <c r="K51" s="25" t="s">
        <v>259</v>
      </c>
      <c r="L51" s="25" t="s">
        <v>395</v>
      </c>
      <c r="M51" s="24" t="s">
        <v>186</v>
      </c>
      <c r="N51" s="12"/>
      <c r="O51" s="25" t="s">
        <v>15</v>
      </c>
      <c r="P51" s="25" t="s">
        <v>37</v>
      </c>
      <c r="Q51" s="25" t="s">
        <v>20</v>
      </c>
      <c r="R51" s="12"/>
      <c r="S51" s="34" t="str">
        <f>"420,0"</f>
        <v>420,0</v>
      </c>
      <c r="T51" s="12" t="str">
        <f>"308,4900"</f>
        <v>308,4900</v>
      </c>
      <c r="U51" s="11" t="s">
        <v>404</v>
      </c>
    </row>
    <row r="52" spans="1:21">
      <c r="A52" s="12" t="s">
        <v>165</v>
      </c>
      <c r="B52" s="11" t="s">
        <v>444</v>
      </c>
      <c r="C52" s="11" t="s">
        <v>445</v>
      </c>
      <c r="D52" s="11" t="s">
        <v>263</v>
      </c>
      <c r="E52" s="11" t="s">
        <v>1623</v>
      </c>
      <c r="F52" s="11" t="s">
        <v>1490</v>
      </c>
      <c r="G52" s="25" t="s">
        <v>253</v>
      </c>
      <c r="H52" s="25" t="s">
        <v>19</v>
      </c>
      <c r="I52" s="25" t="s">
        <v>238</v>
      </c>
      <c r="J52" s="12"/>
      <c r="K52" s="24" t="s">
        <v>271</v>
      </c>
      <c r="L52" s="25" t="s">
        <v>271</v>
      </c>
      <c r="M52" s="24" t="s">
        <v>97</v>
      </c>
      <c r="N52" s="12"/>
      <c r="O52" s="25" t="s">
        <v>198</v>
      </c>
      <c r="P52" s="25" t="s">
        <v>446</v>
      </c>
      <c r="Q52" s="24" t="s">
        <v>447</v>
      </c>
      <c r="R52" s="12"/>
      <c r="S52" s="34" t="str">
        <f>"542,5"</f>
        <v>542,5</v>
      </c>
      <c r="T52" s="12" t="str">
        <f>"386,5855"</f>
        <v>386,5855</v>
      </c>
      <c r="U52" s="11" t="s">
        <v>264</v>
      </c>
    </row>
    <row r="53" spans="1:21">
      <c r="A53" s="12" t="s">
        <v>167</v>
      </c>
      <c r="B53" s="11" t="s">
        <v>448</v>
      </c>
      <c r="C53" s="11" t="s">
        <v>449</v>
      </c>
      <c r="D53" s="11" t="s">
        <v>25</v>
      </c>
      <c r="E53" s="11" t="s">
        <v>1623</v>
      </c>
      <c r="F53" s="11" t="s">
        <v>1491</v>
      </c>
      <c r="G53" s="25" t="s">
        <v>15</v>
      </c>
      <c r="H53" s="25" t="s">
        <v>238</v>
      </c>
      <c r="I53" s="25" t="s">
        <v>46</v>
      </c>
      <c r="J53" s="12"/>
      <c r="K53" s="25" t="s">
        <v>220</v>
      </c>
      <c r="L53" s="25" t="s">
        <v>229</v>
      </c>
      <c r="M53" s="25" t="s">
        <v>391</v>
      </c>
      <c r="N53" s="12"/>
      <c r="O53" s="25" t="s">
        <v>19</v>
      </c>
      <c r="P53" s="25" t="s">
        <v>75</v>
      </c>
      <c r="Q53" s="25" t="s">
        <v>51</v>
      </c>
      <c r="R53" s="12"/>
      <c r="S53" s="34" t="str">
        <f>"490,0"</f>
        <v>490,0</v>
      </c>
      <c r="T53" s="12" t="str">
        <f>"352,4570"</f>
        <v>352,4570</v>
      </c>
      <c r="U53" s="11" t="s">
        <v>387</v>
      </c>
    </row>
    <row r="54" spans="1:21">
      <c r="A54" s="14" t="s">
        <v>168</v>
      </c>
      <c r="B54" s="13" t="s">
        <v>450</v>
      </c>
      <c r="C54" s="13" t="s">
        <v>451</v>
      </c>
      <c r="D54" s="13" t="s">
        <v>452</v>
      </c>
      <c r="E54" s="13" t="s">
        <v>1623</v>
      </c>
      <c r="F54" s="13" t="s">
        <v>1491</v>
      </c>
      <c r="G54" s="27" t="s">
        <v>186</v>
      </c>
      <c r="H54" s="26" t="s">
        <v>199</v>
      </c>
      <c r="I54" s="26" t="s">
        <v>199</v>
      </c>
      <c r="J54" s="14"/>
      <c r="K54" s="27" t="s">
        <v>220</v>
      </c>
      <c r="L54" s="27" t="s">
        <v>229</v>
      </c>
      <c r="M54" s="26" t="s">
        <v>186</v>
      </c>
      <c r="N54" s="14"/>
      <c r="O54" s="27" t="s">
        <v>97</v>
      </c>
      <c r="P54" s="27" t="s">
        <v>54</v>
      </c>
      <c r="Q54" s="27" t="s">
        <v>29</v>
      </c>
      <c r="R54" s="14"/>
      <c r="S54" s="32" t="str">
        <f>"370,0"</f>
        <v>370,0</v>
      </c>
      <c r="T54" s="14" t="str">
        <f>"265,6230"</f>
        <v>265,6230</v>
      </c>
      <c r="U54" s="13" t="s">
        <v>387</v>
      </c>
    </row>
    <row r="55" spans="1:21">
      <c r="B55" s="5" t="s">
        <v>166</v>
      </c>
    </row>
    <row r="56" spans="1:21" ht="16">
      <c r="A56" s="48" t="s">
        <v>10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</row>
    <row r="57" spans="1:21">
      <c r="A57" s="10" t="s">
        <v>165</v>
      </c>
      <c r="B57" s="9" t="s">
        <v>453</v>
      </c>
      <c r="C57" s="9" t="s">
        <v>454</v>
      </c>
      <c r="D57" s="9" t="s">
        <v>455</v>
      </c>
      <c r="E57" s="9" t="s">
        <v>1622</v>
      </c>
      <c r="F57" s="9" t="s">
        <v>1495</v>
      </c>
      <c r="G57" s="22" t="s">
        <v>20</v>
      </c>
      <c r="H57" s="22" t="s">
        <v>21</v>
      </c>
      <c r="I57" s="10"/>
      <c r="J57" s="10"/>
      <c r="K57" s="23" t="s">
        <v>97</v>
      </c>
      <c r="L57" s="22" t="s">
        <v>97</v>
      </c>
      <c r="M57" s="22" t="s">
        <v>98</v>
      </c>
      <c r="N57" s="10"/>
      <c r="O57" s="22" t="s">
        <v>57</v>
      </c>
      <c r="P57" s="22" t="s">
        <v>91</v>
      </c>
      <c r="Q57" s="10"/>
      <c r="R57" s="10"/>
      <c r="S57" s="31" t="str">
        <f>"585,0"</f>
        <v>585,0</v>
      </c>
      <c r="T57" s="10" t="str">
        <f>"399,3795"</f>
        <v>399,3795</v>
      </c>
      <c r="U57" s="9" t="s">
        <v>456</v>
      </c>
    </row>
    <row r="58" spans="1:21">
      <c r="A58" s="12" t="s">
        <v>167</v>
      </c>
      <c r="B58" s="11" t="s">
        <v>457</v>
      </c>
      <c r="C58" s="11" t="s">
        <v>458</v>
      </c>
      <c r="D58" s="11" t="s">
        <v>459</v>
      </c>
      <c r="E58" s="11" t="s">
        <v>1622</v>
      </c>
      <c r="F58" s="11" t="s">
        <v>1490</v>
      </c>
      <c r="G58" s="25" t="s">
        <v>97</v>
      </c>
      <c r="H58" s="25" t="s">
        <v>266</v>
      </c>
      <c r="I58" s="25" t="s">
        <v>98</v>
      </c>
      <c r="J58" s="12"/>
      <c r="K58" s="24" t="s">
        <v>179</v>
      </c>
      <c r="L58" s="25" t="s">
        <v>252</v>
      </c>
      <c r="M58" s="24" t="s">
        <v>181</v>
      </c>
      <c r="N58" s="12"/>
      <c r="O58" s="25" t="s">
        <v>98</v>
      </c>
      <c r="P58" s="25" t="s">
        <v>216</v>
      </c>
      <c r="Q58" s="25" t="s">
        <v>29</v>
      </c>
      <c r="R58" s="12"/>
      <c r="S58" s="34" t="str">
        <f>"380,0"</f>
        <v>380,0</v>
      </c>
      <c r="T58" s="12" t="str">
        <f>"260,8700"</f>
        <v>260,8700</v>
      </c>
      <c r="U58" s="11" t="s">
        <v>460</v>
      </c>
    </row>
    <row r="59" spans="1:21">
      <c r="A59" s="12" t="s">
        <v>165</v>
      </c>
      <c r="B59" s="11" t="s">
        <v>461</v>
      </c>
      <c r="C59" s="11" t="s">
        <v>462</v>
      </c>
      <c r="D59" s="11" t="s">
        <v>463</v>
      </c>
      <c r="E59" s="11" t="s">
        <v>1623</v>
      </c>
      <c r="F59" s="11" t="s">
        <v>1496</v>
      </c>
      <c r="G59" s="25" t="s">
        <v>26</v>
      </c>
      <c r="H59" s="25" t="s">
        <v>464</v>
      </c>
      <c r="I59" s="25" t="s">
        <v>198</v>
      </c>
      <c r="J59" s="12"/>
      <c r="K59" s="25" t="s">
        <v>266</v>
      </c>
      <c r="L59" s="25" t="s">
        <v>251</v>
      </c>
      <c r="M59" s="24" t="s">
        <v>216</v>
      </c>
      <c r="N59" s="12"/>
      <c r="O59" s="25" t="s">
        <v>215</v>
      </c>
      <c r="P59" s="25" t="s">
        <v>91</v>
      </c>
      <c r="Q59" s="24" t="s">
        <v>465</v>
      </c>
      <c r="R59" s="12"/>
      <c r="S59" s="34" t="str">
        <f>"635,0"</f>
        <v>635,0</v>
      </c>
      <c r="T59" s="12" t="str">
        <f>"425,3865"</f>
        <v>425,3865</v>
      </c>
      <c r="U59" s="11" t="s">
        <v>264</v>
      </c>
    </row>
    <row r="60" spans="1:21">
      <c r="A60" s="12" t="s">
        <v>167</v>
      </c>
      <c r="B60" s="11" t="s">
        <v>466</v>
      </c>
      <c r="C60" s="11" t="s">
        <v>467</v>
      </c>
      <c r="D60" s="11" t="s">
        <v>468</v>
      </c>
      <c r="E60" s="11" t="s">
        <v>1623</v>
      </c>
      <c r="F60" s="11" t="s">
        <v>1603</v>
      </c>
      <c r="G60" s="25" t="s">
        <v>51</v>
      </c>
      <c r="H60" s="25" t="s">
        <v>205</v>
      </c>
      <c r="I60" s="25" t="s">
        <v>469</v>
      </c>
      <c r="J60" s="12"/>
      <c r="K60" s="25" t="s">
        <v>187</v>
      </c>
      <c r="L60" s="25" t="s">
        <v>97</v>
      </c>
      <c r="M60" s="25" t="s">
        <v>234</v>
      </c>
      <c r="N60" s="12"/>
      <c r="O60" s="25" t="s">
        <v>27</v>
      </c>
      <c r="P60" s="25" t="s">
        <v>446</v>
      </c>
      <c r="Q60" s="25" t="s">
        <v>91</v>
      </c>
      <c r="R60" s="12"/>
      <c r="S60" s="34" t="str">
        <f>"610,0"</f>
        <v>610,0</v>
      </c>
      <c r="T60" s="12" t="str">
        <f>"429,1960"</f>
        <v>429,1960</v>
      </c>
      <c r="U60" s="11" t="s">
        <v>264</v>
      </c>
    </row>
    <row r="61" spans="1:21">
      <c r="A61" s="12" t="s">
        <v>168</v>
      </c>
      <c r="B61" s="11" t="s">
        <v>470</v>
      </c>
      <c r="C61" s="11" t="s">
        <v>471</v>
      </c>
      <c r="D61" s="11" t="s">
        <v>472</v>
      </c>
      <c r="E61" s="11" t="s">
        <v>1623</v>
      </c>
      <c r="F61" s="11" t="s">
        <v>1497</v>
      </c>
      <c r="G61" s="25" t="s">
        <v>52</v>
      </c>
      <c r="H61" s="25" t="s">
        <v>53</v>
      </c>
      <c r="I61" s="25" t="s">
        <v>464</v>
      </c>
      <c r="J61" s="12"/>
      <c r="K61" s="25" t="s">
        <v>54</v>
      </c>
      <c r="L61" s="25" t="s">
        <v>55</v>
      </c>
      <c r="M61" s="24" t="s">
        <v>29</v>
      </c>
      <c r="N61" s="12"/>
      <c r="O61" s="25" t="s">
        <v>127</v>
      </c>
      <c r="P61" s="24" t="s">
        <v>469</v>
      </c>
      <c r="Q61" s="25" t="s">
        <v>53</v>
      </c>
      <c r="R61" s="12"/>
      <c r="S61" s="34" t="str">
        <f>"610,0"</f>
        <v>610,0</v>
      </c>
      <c r="T61" s="12" t="str">
        <f>"410,7740"</f>
        <v>410,7740</v>
      </c>
      <c r="U61" s="11" t="s">
        <v>264</v>
      </c>
    </row>
    <row r="62" spans="1:21">
      <c r="A62" s="14" t="s">
        <v>170</v>
      </c>
      <c r="B62" s="13" t="s">
        <v>473</v>
      </c>
      <c r="C62" s="13" t="s">
        <v>474</v>
      </c>
      <c r="D62" s="13" t="s">
        <v>13</v>
      </c>
      <c r="E62" s="13" t="s">
        <v>1623</v>
      </c>
      <c r="F62" s="13" t="s">
        <v>1498</v>
      </c>
      <c r="G62" s="26" t="s">
        <v>265</v>
      </c>
      <c r="H62" s="27" t="s">
        <v>265</v>
      </c>
      <c r="I62" s="26" t="s">
        <v>69</v>
      </c>
      <c r="J62" s="14"/>
      <c r="K62" s="26" t="s">
        <v>98</v>
      </c>
      <c r="L62" s="27" t="s">
        <v>54</v>
      </c>
      <c r="M62" s="26" t="s">
        <v>14</v>
      </c>
      <c r="N62" s="14"/>
      <c r="O62" s="26" t="s">
        <v>215</v>
      </c>
      <c r="P62" s="26" t="s">
        <v>91</v>
      </c>
      <c r="Q62" s="27" t="s">
        <v>91</v>
      </c>
      <c r="R62" s="14"/>
      <c r="S62" s="32" t="str">
        <f>"595,0"</f>
        <v>595,0</v>
      </c>
      <c r="T62" s="14" t="str">
        <f>"411,5020"</f>
        <v>411,5020</v>
      </c>
      <c r="U62" s="13" t="s">
        <v>264</v>
      </c>
    </row>
    <row r="63" spans="1:21">
      <c r="B63" s="5" t="s">
        <v>166</v>
      </c>
    </row>
    <row r="64" spans="1:21" ht="16">
      <c r="A64" s="48" t="s">
        <v>64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</row>
    <row r="65" spans="1:21">
      <c r="A65" s="10" t="s">
        <v>169</v>
      </c>
      <c r="B65" s="9" t="s">
        <v>475</v>
      </c>
      <c r="C65" s="9" t="s">
        <v>476</v>
      </c>
      <c r="D65" s="9" t="s">
        <v>287</v>
      </c>
      <c r="E65" s="9" t="s">
        <v>1625</v>
      </c>
      <c r="F65" s="9" t="s">
        <v>1490</v>
      </c>
      <c r="G65" s="23" t="s">
        <v>54</v>
      </c>
      <c r="H65" s="23" t="s">
        <v>54</v>
      </c>
      <c r="I65" s="23" t="s">
        <v>54</v>
      </c>
      <c r="J65" s="10"/>
      <c r="K65" s="23"/>
      <c r="L65" s="10"/>
      <c r="M65" s="10"/>
      <c r="N65" s="10"/>
      <c r="O65" s="23"/>
      <c r="P65" s="10"/>
      <c r="Q65" s="10"/>
      <c r="R65" s="10"/>
      <c r="S65" s="31">
        <v>0</v>
      </c>
      <c r="T65" s="10" t="str">
        <f>"0,0000"</f>
        <v>0,0000</v>
      </c>
      <c r="U65" s="9" t="s">
        <v>1431</v>
      </c>
    </row>
    <row r="66" spans="1:21">
      <c r="A66" s="12" t="s">
        <v>165</v>
      </c>
      <c r="B66" s="11" t="s">
        <v>477</v>
      </c>
      <c r="C66" s="11" t="s">
        <v>478</v>
      </c>
      <c r="D66" s="11" t="s">
        <v>479</v>
      </c>
      <c r="E66" s="11" t="s">
        <v>1622</v>
      </c>
      <c r="F66" s="11" t="s">
        <v>1615</v>
      </c>
      <c r="G66" s="25" t="s">
        <v>26</v>
      </c>
      <c r="H66" s="24" t="s">
        <v>464</v>
      </c>
      <c r="I66" s="24" t="s">
        <v>464</v>
      </c>
      <c r="J66" s="12"/>
      <c r="K66" s="25" t="s">
        <v>62</v>
      </c>
      <c r="L66" s="24" t="s">
        <v>234</v>
      </c>
      <c r="M66" s="24" t="s">
        <v>234</v>
      </c>
      <c r="N66" s="12"/>
      <c r="O66" s="25" t="s">
        <v>56</v>
      </c>
      <c r="P66" s="24" t="s">
        <v>57</v>
      </c>
      <c r="Q66" s="24" t="s">
        <v>57</v>
      </c>
      <c r="R66" s="12"/>
      <c r="S66" s="34" t="str">
        <f>"570,0"</f>
        <v>570,0</v>
      </c>
      <c r="T66" s="12" t="str">
        <f>"373,2930"</f>
        <v>373,2930</v>
      </c>
      <c r="U66" s="11" t="s">
        <v>264</v>
      </c>
    </row>
    <row r="67" spans="1:21">
      <c r="A67" s="12" t="s">
        <v>169</v>
      </c>
      <c r="B67" s="11" t="s">
        <v>480</v>
      </c>
      <c r="C67" s="11" t="s">
        <v>481</v>
      </c>
      <c r="D67" s="11" t="s">
        <v>283</v>
      </c>
      <c r="E67" s="11" t="s">
        <v>1622</v>
      </c>
      <c r="F67" s="11" t="s">
        <v>1490</v>
      </c>
      <c r="G67" s="24" t="s">
        <v>186</v>
      </c>
      <c r="H67" s="25" t="s">
        <v>186</v>
      </c>
      <c r="I67" s="12"/>
      <c r="J67" s="12"/>
      <c r="K67" s="24" t="s">
        <v>258</v>
      </c>
      <c r="L67" s="24" t="s">
        <v>258</v>
      </c>
      <c r="M67" s="24" t="s">
        <v>258</v>
      </c>
      <c r="N67" s="12"/>
      <c r="O67" s="24"/>
      <c r="P67" s="12"/>
      <c r="Q67" s="12"/>
      <c r="R67" s="12"/>
      <c r="S67" s="34">
        <v>0</v>
      </c>
      <c r="T67" s="12" t="str">
        <f>"0,0000"</f>
        <v>0,0000</v>
      </c>
      <c r="U67" s="11" t="s">
        <v>482</v>
      </c>
    </row>
    <row r="68" spans="1:21">
      <c r="A68" s="12" t="s">
        <v>165</v>
      </c>
      <c r="B68" s="11" t="s">
        <v>483</v>
      </c>
      <c r="C68" s="11" t="s">
        <v>484</v>
      </c>
      <c r="D68" s="11" t="s">
        <v>291</v>
      </c>
      <c r="E68" s="11" t="s">
        <v>1623</v>
      </c>
      <c r="F68" s="11" t="s">
        <v>1499</v>
      </c>
      <c r="G68" s="25" t="s">
        <v>61</v>
      </c>
      <c r="H68" s="25" t="s">
        <v>127</v>
      </c>
      <c r="I68" s="25" t="s">
        <v>52</v>
      </c>
      <c r="J68" s="12"/>
      <c r="K68" s="25" t="s">
        <v>54</v>
      </c>
      <c r="L68" s="25" t="s">
        <v>14</v>
      </c>
      <c r="M68" s="24" t="s">
        <v>55</v>
      </c>
      <c r="N68" s="12"/>
      <c r="O68" s="25" t="s">
        <v>30</v>
      </c>
      <c r="P68" s="25" t="s">
        <v>40</v>
      </c>
      <c r="Q68" s="24" t="s">
        <v>31</v>
      </c>
      <c r="R68" s="12"/>
      <c r="S68" s="34" t="str">
        <f>"635,0"</f>
        <v>635,0</v>
      </c>
      <c r="T68" s="12" t="str">
        <f>"415,2900"</f>
        <v>415,2900</v>
      </c>
      <c r="U68" s="11" t="s">
        <v>264</v>
      </c>
    </row>
    <row r="69" spans="1:21">
      <c r="A69" s="12" t="s">
        <v>167</v>
      </c>
      <c r="B69" s="11" t="s">
        <v>485</v>
      </c>
      <c r="C69" s="11" t="s">
        <v>486</v>
      </c>
      <c r="D69" s="11" t="s">
        <v>67</v>
      </c>
      <c r="E69" s="11" t="s">
        <v>1623</v>
      </c>
      <c r="F69" s="11" t="s">
        <v>1500</v>
      </c>
      <c r="G69" s="24" t="s">
        <v>52</v>
      </c>
      <c r="H69" s="24" t="s">
        <v>52</v>
      </c>
      <c r="I69" s="25" t="s">
        <v>52</v>
      </c>
      <c r="J69" s="12"/>
      <c r="K69" s="25" t="s">
        <v>54</v>
      </c>
      <c r="L69" s="24" t="s">
        <v>14</v>
      </c>
      <c r="M69" s="24" t="s">
        <v>14</v>
      </c>
      <c r="N69" s="12"/>
      <c r="O69" s="25" t="s">
        <v>57</v>
      </c>
      <c r="P69" s="25" t="s">
        <v>40</v>
      </c>
      <c r="Q69" s="24" t="s">
        <v>68</v>
      </c>
      <c r="R69" s="12"/>
      <c r="S69" s="34" t="str">
        <f>"630,0"</f>
        <v>630,0</v>
      </c>
      <c r="T69" s="12" t="str">
        <f>"404,0190"</f>
        <v>404,0190</v>
      </c>
      <c r="U69" s="11" t="s">
        <v>264</v>
      </c>
    </row>
    <row r="70" spans="1:21">
      <c r="A70" s="12" t="s">
        <v>168</v>
      </c>
      <c r="B70" s="11" t="s">
        <v>487</v>
      </c>
      <c r="C70" s="11" t="s">
        <v>488</v>
      </c>
      <c r="D70" s="11" t="s">
        <v>489</v>
      </c>
      <c r="E70" s="11" t="s">
        <v>1623</v>
      </c>
      <c r="F70" s="11" t="s">
        <v>1498</v>
      </c>
      <c r="G70" s="24" t="s">
        <v>61</v>
      </c>
      <c r="H70" s="25" t="s">
        <v>51</v>
      </c>
      <c r="I70" s="24" t="s">
        <v>127</v>
      </c>
      <c r="J70" s="12"/>
      <c r="K70" s="25" t="s">
        <v>98</v>
      </c>
      <c r="L70" s="25" t="s">
        <v>14</v>
      </c>
      <c r="M70" s="25" t="s">
        <v>29</v>
      </c>
      <c r="N70" s="12"/>
      <c r="O70" s="25" t="s">
        <v>57</v>
      </c>
      <c r="P70" s="25" t="s">
        <v>30</v>
      </c>
      <c r="Q70" s="25" t="s">
        <v>121</v>
      </c>
      <c r="R70" s="12"/>
      <c r="S70" s="34" t="str">
        <f>"625,0"</f>
        <v>625,0</v>
      </c>
      <c r="T70" s="12" t="str">
        <f>"402,9375"</f>
        <v>402,9375</v>
      </c>
      <c r="U70" s="11" t="s">
        <v>264</v>
      </c>
    </row>
    <row r="71" spans="1:21">
      <c r="A71" s="12" t="s">
        <v>170</v>
      </c>
      <c r="B71" s="11" t="s">
        <v>490</v>
      </c>
      <c r="C71" s="11" t="s">
        <v>491</v>
      </c>
      <c r="D71" s="11" t="s">
        <v>67</v>
      </c>
      <c r="E71" s="11" t="s">
        <v>1623</v>
      </c>
      <c r="F71" s="11" t="s">
        <v>1490</v>
      </c>
      <c r="G71" s="25" t="s">
        <v>205</v>
      </c>
      <c r="H71" s="25" t="s">
        <v>469</v>
      </c>
      <c r="I71" s="24" t="s">
        <v>53</v>
      </c>
      <c r="J71" s="12"/>
      <c r="K71" s="25" t="s">
        <v>15</v>
      </c>
      <c r="L71" s="25" t="s">
        <v>19</v>
      </c>
      <c r="M71" s="24" t="s">
        <v>238</v>
      </c>
      <c r="N71" s="12"/>
      <c r="O71" s="25" t="s">
        <v>52</v>
      </c>
      <c r="P71" s="25" t="s">
        <v>26</v>
      </c>
      <c r="Q71" s="24" t="s">
        <v>53</v>
      </c>
      <c r="R71" s="12"/>
      <c r="S71" s="34" t="str">
        <f>"607,5"</f>
        <v>607,5</v>
      </c>
      <c r="T71" s="12" t="str">
        <f>"389,5898"</f>
        <v>389,5898</v>
      </c>
      <c r="U71" s="11" t="s">
        <v>93</v>
      </c>
    </row>
    <row r="72" spans="1:21">
      <c r="A72" s="14" t="s">
        <v>542</v>
      </c>
      <c r="B72" s="13" t="s">
        <v>492</v>
      </c>
      <c r="C72" s="13" t="s">
        <v>493</v>
      </c>
      <c r="D72" s="13" t="s">
        <v>494</v>
      </c>
      <c r="E72" s="13" t="s">
        <v>1623</v>
      </c>
      <c r="F72" s="13" t="s">
        <v>1498</v>
      </c>
      <c r="G72" s="27" t="s">
        <v>19</v>
      </c>
      <c r="H72" s="26" t="s">
        <v>37</v>
      </c>
      <c r="I72" s="27" t="s">
        <v>46</v>
      </c>
      <c r="J72" s="14"/>
      <c r="K72" s="27" t="s">
        <v>187</v>
      </c>
      <c r="L72" s="27" t="s">
        <v>271</v>
      </c>
      <c r="M72" s="27" t="s">
        <v>97</v>
      </c>
      <c r="N72" s="14"/>
      <c r="O72" s="27" t="s">
        <v>51</v>
      </c>
      <c r="P72" s="27" t="s">
        <v>272</v>
      </c>
      <c r="Q72" s="27" t="s">
        <v>205</v>
      </c>
      <c r="R72" s="14"/>
      <c r="S72" s="32" t="str">
        <f>"520,0"</f>
        <v>520,0</v>
      </c>
      <c r="T72" s="14" t="str">
        <f>"334,4640"</f>
        <v>334,4640</v>
      </c>
      <c r="U72" s="13" t="s">
        <v>264</v>
      </c>
    </row>
    <row r="73" spans="1:21">
      <c r="B73" s="5" t="s">
        <v>166</v>
      </c>
    </row>
    <row r="74" spans="1:21" ht="16">
      <c r="A74" s="48" t="s">
        <v>70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</row>
    <row r="75" spans="1:21">
      <c r="A75" s="10" t="s">
        <v>165</v>
      </c>
      <c r="B75" s="9" t="s">
        <v>495</v>
      </c>
      <c r="C75" s="9" t="s">
        <v>496</v>
      </c>
      <c r="D75" s="9" t="s">
        <v>497</v>
      </c>
      <c r="E75" s="9" t="s">
        <v>1623</v>
      </c>
      <c r="F75" s="9" t="s">
        <v>1501</v>
      </c>
      <c r="G75" s="23" t="s">
        <v>52</v>
      </c>
      <c r="H75" s="23" t="s">
        <v>52</v>
      </c>
      <c r="I75" s="22" t="s">
        <v>52</v>
      </c>
      <c r="J75" s="10"/>
      <c r="K75" s="22" t="s">
        <v>98</v>
      </c>
      <c r="L75" s="22" t="s">
        <v>216</v>
      </c>
      <c r="M75" s="23" t="s">
        <v>14</v>
      </c>
      <c r="N75" s="10"/>
      <c r="O75" s="23" t="s">
        <v>91</v>
      </c>
      <c r="P75" s="22" t="s">
        <v>91</v>
      </c>
      <c r="Q75" s="23" t="s">
        <v>121</v>
      </c>
      <c r="R75" s="10"/>
      <c r="S75" s="31" t="str">
        <f>"617,5"</f>
        <v>617,5</v>
      </c>
      <c r="T75" s="10" t="str">
        <f>"381,4297"</f>
        <v>381,4297</v>
      </c>
      <c r="U75" s="9" t="s">
        <v>498</v>
      </c>
    </row>
    <row r="76" spans="1:21">
      <c r="A76" s="12" t="s">
        <v>167</v>
      </c>
      <c r="B76" s="11" t="s">
        <v>499</v>
      </c>
      <c r="C76" s="11" t="s">
        <v>500</v>
      </c>
      <c r="D76" s="11" t="s">
        <v>501</v>
      </c>
      <c r="E76" s="11" t="s">
        <v>1623</v>
      </c>
      <c r="F76" s="11" t="s">
        <v>1502</v>
      </c>
      <c r="G76" s="25" t="s">
        <v>21</v>
      </c>
      <c r="H76" s="25" t="s">
        <v>51</v>
      </c>
      <c r="I76" s="25" t="s">
        <v>127</v>
      </c>
      <c r="J76" s="12"/>
      <c r="K76" s="25" t="s">
        <v>186</v>
      </c>
      <c r="L76" s="25" t="s">
        <v>62</v>
      </c>
      <c r="M76" s="24" t="s">
        <v>187</v>
      </c>
      <c r="N76" s="12"/>
      <c r="O76" s="25" t="s">
        <v>26</v>
      </c>
      <c r="P76" s="24" t="s">
        <v>214</v>
      </c>
      <c r="Q76" s="24" t="s">
        <v>214</v>
      </c>
      <c r="R76" s="12"/>
      <c r="S76" s="34" t="str">
        <f>"550,0"</f>
        <v>550,0</v>
      </c>
      <c r="T76" s="12" t="str">
        <f>"343,4200"</f>
        <v>343,4200</v>
      </c>
      <c r="U76" s="11" t="s">
        <v>362</v>
      </c>
    </row>
    <row r="77" spans="1:21">
      <c r="A77" s="14" t="s">
        <v>165</v>
      </c>
      <c r="B77" s="13" t="s">
        <v>502</v>
      </c>
      <c r="C77" s="13" t="s">
        <v>503</v>
      </c>
      <c r="D77" s="13" t="s">
        <v>504</v>
      </c>
      <c r="E77" s="13" t="s">
        <v>1624</v>
      </c>
      <c r="F77" s="13" t="s">
        <v>1503</v>
      </c>
      <c r="G77" s="26" t="s">
        <v>19</v>
      </c>
      <c r="H77" s="27" t="s">
        <v>19</v>
      </c>
      <c r="I77" s="27" t="s">
        <v>20</v>
      </c>
      <c r="J77" s="14"/>
      <c r="K77" s="27" t="s">
        <v>187</v>
      </c>
      <c r="L77" s="27" t="s">
        <v>234</v>
      </c>
      <c r="M77" s="26" t="s">
        <v>98</v>
      </c>
      <c r="N77" s="14"/>
      <c r="O77" s="26" t="s">
        <v>20</v>
      </c>
      <c r="P77" s="27" t="s">
        <v>20</v>
      </c>
      <c r="Q77" s="27" t="s">
        <v>265</v>
      </c>
      <c r="R77" s="14"/>
      <c r="S77" s="32" t="str">
        <f>"507,5"</f>
        <v>507,5</v>
      </c>
      <c r="T77" s="14" t="str">
        <f>"321,5787"</f>
        <v>321,5787</v>
      </c>
      <c r="U77" s="13" t="s">
        <v>264</v>
      </c>
    </row>
    <row r="78" spans="1:21">
      <c r="B78" s="5" t="s">
        <v>166</v>
      </c>
    </row>
    <row r="79" spans="1:21" ht="16">
      <c r="A79" s="48" t="s">
        <v>99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</row>
    <row r="80" spans="1:21">
      <c r="A80" s="10" t="s">
        <v>165</v>
      </c>
      <c r="B80" s="9" t="s">
        <v>505</v>
      </c>
      <c r="C80" s="9" t="s">
        <v>506</v>
      </c>
      <c r="D80" s="9" t="s">
        <v>507</v>
      </c>
      <c r="E80" s="9" t="s">
        <v>1623</v>
      </c>
      <c r="F80" s="9" t="s">
        <v>1504</v>
      </c>
      <c r="G80" s="22" t="s">
        <v>61</v>
      </c>
      <c r="H80" s="22" t="s">
        <v>26</v>
      </c>
      <c r="I80" s="22" t="s">
        <v>53</v>
      </c>
      <c r="J80" s="10"/>
      <c r="K80" s="22" t="s">
        <v>98</v>
      </c>
      <c r="L80" s="22" t="s">
        <v>14</v>
      </c>
      <c r="M80" s="22" t="s">
        <v>29</v>
      </c>
      <c r="N80" s="10"/>
      <c r="O80" s="22" t="s">
        <v>57</v>
      </c>
      <c r="P80" s="22" t="s">
        <v>40</v>
      </c>
      <c r="Q80" s="23" t="s">
        <v>92</v>
      </c>
      <c r="R80" s="10"/>
      <c r="S80" s="31" t="str">
        <f>"650,0"</f>
        <v>650,0</v>
      </c>
      <c r="T80" s="10" t="str">
        <f>"385,7750"</f>
        <v>385,7750</v>
      </c>
      <c r="U80" s="9" t="s">
        <v>508</v>
      </c>
    </row>
    <row r="81" spans="1:21">
      <c r="A81" s="14" t="s">
        <v>167</v>
      </c>
      <c r="B81" s="13" t="s">
        <v>509</v>
      </c>
      <c r="C81" s="13" t="s">
        <v>510</v>
      </c>
      <c r="D81" s="13" t="s">
        <v>511</v>
      </c>
      <c r="E81" s="13" t="s">
        <v>1623</v>
      </c>
      <c r="F81" s="13" t="s">
        <v>1505</v>
      </c>
      <c r="G81" s="26" t="s">
        <v>20</v>
      </c>
      <c r="H81" s="26" t="s">
        <v>21</v>
      </c>
      <c r="I81" s="27" t="s">
        <v>21</v>
      </c>
      <c r="J81" s="14"/>
      <c r="K81" s="27" t="s">
        <v>15</v>
      </c>
      <c r="L81" s="27" t="s">
        <v>238</v>
      </c>
      <c r="M81" s="26" t="s">
        <v>46</v>
      </c>
      <c r="N81" s="14"/>
      <c r="O81" s="27" t="s">
        <v>127</v>
      </c>
      <c r="P81" s="27" t="s">
        <v>56</v>
      </c>
      <c r="Q81" s="27" t="s">
        <v>214</v>
      </c>
      <c r="R81" s="14"/>
      <c r="S81" s="32" t="str">
        <f>"597,5"</f>
        <v>597,5</v>
      </c>
      <c r="T81" s="14" t="str">
        <f>"353,9590"</f>
        <v>353,9590</v>
      </c>
      <c r="U81" s="13" t="s">
        <v>264</v>
      </c>
    </row>
    <row r="82" spans="1:21">
      <c r="B82" s="5" t="s">
        <v>166</v>
      </c>
    </row>
    <row r="83" spans="1:21" ht="16">
      <c r="A83" s="48" t="s">
        <v>109</v>
      </c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</row>
    <row r="84" spans="1:21">
      <c r="A84" s="10" t="s">
        <v>165</v>
      </c>
      <c r="B84" s="9" t="s">
        <v>512</v>
      </c>
      <c r="C84" s="9" t="s">
        <v>513</v>
      </c>
      <c r="D84" s="9" t="s">
        <v>514</v>
      </c>
      <c r="E84" s="9" t="s">
        <v>1623</v>
      </c>
      <c r="F84" s="9" t="s">
        <v>1490</v>
      </c>
      <c r="G84" s="23" t="s">
        <v>53</v>
      </c>
      <c r="H84" s="22" t="s">
        <v>53</v>
      </c>
      <c r="I84" s="22" t="s">
        <v>214</v>
      </c>
      <c r="J84" s="10"/>
      <c r="K84" s="22" t="s">
        <v>37</v>
      </c>
      <c r="L84" s="22" t="s">
        <v>139</v>
      </c>
      <c r="M84" s="23" t="s">
        <v>20</v>
      </c>
      <c r="N84" s="10"/>
      <c r="O84" s="22" t="s">
        <v>57</v>
      </c>
      <c r="P84" s="22" t="s">
        <v>32</v>
      </c>
      <c r="Q84" s="23" t="s">
        <v>41</v>
      </c>
      <c r="R84" s="10"/>
      <c r="S84" s="31" t="str">
        <f>"700,0"</f>
        <v>700,0</v>
      </c>
      <c r="T84" s="10" t="str">
        <f>"399,9100"</f>
        <v>399,9100</v>
      </c>
      <c r="U84" s="9" t="s">
        <v>482</v>
      </c>
    </row>
    <row r="85" spans="1:21">
      <c r="A85" s="12" t="s">
        <v>167</v>
      </c>
      <c r="B85" s="11" t="s">
        <v>515</v>
      </c>
      <c r="C85" s="11" t="s">
        <v>516</v>
      </c>
      <c r="D85" s="11" t="s">
        <v>517</v>
      </c>
      <c r="E85" s="11" t="s">
        <v>1623</v>
      </c>
      <c r="F85" s="11" t="s">
        <v>1490</v>
      </c>
      <c r="G85" s="25" t="s">
        <v>52</v>
      </c>
      <c r="H85" s="24" t="s">
        <v>53</v>
      </c>
      <c r="I85" s="24" t="s">
        <v>53</v>
      </c>
      <c r="J85" s="12"/>
      <c r="K85" s="25" t="s">
        <v>55</v>
      </c>
      <c r="L85" s="24" t="s">
        <v>19</v>
      </c>
      <c r="M85" s="25" t="s">
        <v>19</v>
      </c>
      <c r="N85" s="12"/>
      <c r="O85" s="25" t="s">
        <v>214</v>
      </c>
      <c r="P85" s="24" t="s">
        <v>91</v>
      </c>
      <c r="Q85" s="12"/>
      <c r="R85" s="12"/>
      <c r="S85" s="34" t="str">
        <f>"620,0"</f>
        <v>620,0</v>
      </c>
      <c r="T85" s="12" t="str">
        <f>"363,0100"</f>
        <v>363,0100</v>
      </c>
      <c r="U85" s="11" t="s">
        <v>518</v>
      </c>
    </row>
    <row r="86" spans="1:21">
      <c r="A86" s="12" t="s">
        <v>168</v>
      </c>
      <c r="B86" s="11" t="s">
        <v>519</v>
      </c>
      <c r="C86" s="11" t="s">
        <v>520</v>
      </c>
      <c r="D86" s="11" t="s">
        <v>521</v>
      </c>
      <c r="E86" s="11" t="s">
        <v>1623</v>
      </c>
      <c r="F86" s="11" t="s">
        <v>1490</v>
      </c>
      <c r="G86" s="25" t="s">
        <v>61</v>
      </c>
      <c r="H86" s="25" t="s">
        <v>127</v>
      </c>
      <c r="I86" s="24" t="s">
        <v>205</v>
      </c>
      <c r="J86" s="12"/>
      <c r="K86" s="25" t="s">
        <v>54</v>
      </c>
      <c r="L86" s="25" t="s">
        <v>55</v>
      </c>
      <c r="M86" s="25" t="s">
        <v>15</v>
      </c>
      <c r="N86" s="12"/>
      <c r="O86" s="25" t="s">
        <v>61</v>
      </c>
      <c r="P86" s="25" t="s">
        <v>127</v>
      </c>
      <c r="Q86" s="25" t="s">
        <v>26</v>
      </c>
      <c r="R86" s="12"/>
      <c r="S86" s="34" t="str">
        <f>"590,0"</f>
        <v>590,0</v>
      </c>
      <c r="T86" s="12" t="str">
        <f>"340,4890"</f>
        <v>340,4890</v>
      </c>
      <c r="U86" s="11" t="s">
        <v>522</v>
      </c>
    </row>
    <row r="87" spans="1:21">
      <c r="A87" s="14" t="s">
        <v>165</v>
      </c>
      <c r="B87" s="13" t="s">
        <v>519</v>
      </c>
      <c r="C87" s="13" t="s">
        <v>523</v>
      </c>
      <c r="D87" s="13" t="s">
        <v>521</v>
      </c>
      <c r="E87" s="13" t="s">
        <v>1624</v>
      </c>
      <c r="F87" s="13" t="s">
        <v>1490</v>
      </c>
      <c r="G87" s="27" t="s">
        <v>61</v>
      </c>
      <c r="H87" s="27" t="s">
        <v>127</v>
      </c>
      <c r="I87" s="26" t="s">
        <v>205</v>
      </c>
      <c r="J87" s="14"/>
      <c r="K87" s="27" t="s">
        <v>54</v>
      </c>
      <c r="L87" s="27" t="s">
        <v>55</v>
      </c>
      <c r="M87" s="27" t="s">
        <v>15</v>
      </c>
      <c r="N87" s="14"/>
      <c r="O87" s="27" t="s">
        <v>61</v>
      </c>
      <c r="P87" s="27" t="s">
        <v>127</v>
      </c>
      <c r="Q87" s="27" t="s">
        <v>26</v>
      </c>
      <c r="R87" s="14"/>
      <c r="S87" s="32" t="str">
        <f>"590,0"</f>
        <v>590,0</v>
      </c>
      <c r="T87" s="14" t="str">
        <f>"350,0227"</f>
        <v>350,0227</v>
      </c>
      <c r="U87" s="13" t="s">
        <v>522</v>
      </c>
    </row>
    <row r="88" spans="1:21">
      <c r="B88" s="5" t="s">
        <v>166</v>
      </c>
    </row>
    <row r="89" spans="1:21" ht="16">
      <c r="A89" s="48" t="s">
        <v>330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</row>
    <row r="90" spans="1:21">
      <c r="A90" s="8" t="s">
        <v>165</v>
      </c>
      <c r="B90" s="7" t="s">
        <v>524</v>
      </c>
      <c r="C90" s="7" t="s">
        <v>525</v>
      </c>
      <c r="D90" s="7" t="s">
        <v>526</v>
      </c>
      <c r="E90" s="7" t="s">
        <v>1626</v>
      </c>
      <c r="F90" s="7" t="s">
        <v>1490</v>
      </c>
      <c r="G90" s="21" t="s">
        <v>61</v>
      </c>
      <c r="H90" s="21" t="s">
        <v>127</v>
      </c>
      <c r="I90" s="20" t="s">
        <v>26</v>
      </c>
      <c r="J90" s="8"/>
      <c r="K90" s="20" t="s">
        <v>62</v>
      </c>
      <c r="L90" s="20" t="s">
        <v>62</v>
      </c>
      <c r="M90" s="21" t="s">
        <v>62</v>
      </c>
      <c r="N90" s="8"/>
      <c r="O90" s="21" t="s">
        <v>61</v>
      </c>
      <c r="P90" s="21" t="s">
        <v>26</v>
      </c>
      <c r="Q90" s="20" t="s">
        <v>56</v>
      </c>
      <c r="R90" s="8"/>
      <c r="S90" s="33" t="str">
        <f>"550,0"</f>
        <v>550,0</v>
      </c>
      <c r="T90" s="8" t="str">
        <f>"298,3200"</f>
        <v>298,3200</v>
      </c>
      <c r="U90" s="7" t="s">
        <v>264</v>
      </c>
    </row>
    <row r="91" spans="1:21">
      <c r="B91" s="5" t="s">
        <v>166</v>
      </c>
    </row>
    <row r="93" spans="1:21">
      <c r="B93" s="5" t="s">
        <v>166</v>
      </c>
    </row>
    <row r="94" spans="1:21" ht="18">
      <c r="B94" s="15" t="s">
        <v>141</v>
      </c>
      <c r="C94" s="15"/>
    </row>
    <row r="95" spans="1:21" ht="16">
      <c r="B95" s="16" t="s">
        <v>142</v>
      </c>
      <c r="C95" s="16"/>
    </row>
    <row r="96" spans="1:21" ht="14">
      <c r="B96" s="17"/>
      <c r="C96" s="18" t="s">
        <v>143</v>
      </c>
    </row>
    <row r="97" spans="2:6" ht="14">
      <c r="B97" s="19" t="s">
        <v>144</v>
      </c>
      <c r="C97" s="19" t="s">
        <v>145</v>
      </c>
      <c r="D97" s="19" t="s">
        <v>1430</v>
      </c>
      <c r="E97" s="19" t="s">
        <v>147</v>
      </c>
      <c r="F97" s="19" t="s">
        <v>148</v>
      </c>
    </row>
    <row r="98" spans="2:6">
      <c r="B98" s="5" t="s">
        <v>378</v>
      </c>
      <c r="C98" s="5" t="s">
        <v>143</v>
      </c>
      <c r="D98" s="6" t="s">
        <v>239</v>
      </c>
      <c r="E98" s="6" t="s">
        <v>529</v>
      </c>
      <c r="F98" s="6" t="s">
        <v>530</v>
      </c>
    </row>
    <row r="99" spans="2:6">
      <c r="B99" s="5" t="s">
        <v>409</v>
      </c>
      <c r="C99" s="5" t="s">
        <v>143</v>
      </c>
      <c r="D99" s="6" t="s">
        <v>243</v>
      </c>
      <c r="E99" s="6" t="s">
        <v>531</v>
      </c>
      <c r="F99" s="6" t="s">
        <v>532</v>
      </c>
    </row>
    <row r="100" spans="2:6">
      <c r="B100" s="5" t="s">
        <v>405</v>
      </c>
      <c r="C100" s="5" t="s">
        <v>143</v>
      </c>
      <c r="D100" s="6" t="s">
        <v>243</v>
      </c>
      <c r="E100" s="6" t="s">
        <v>533</v>
      </c>
      <c r="F100" s="6" t="s">
        <v>534</v>
      </c>
    </row>
    <row r="102" spans="2:6" ht="16">
      <c r="B102" s="16" t="s">
        <v>150</v>
      </c>
      <c r="C102" s="16"/>
    </row>
    <row r="103" spans="2:6" ht="14">
      <c r="B103" s="17"/>
      <c r="C103" s="18" t="s">
        <v>143</v>
      </c>
    </row>
    <row r="104" spans="2:6" ht="14">
      <c r="B104" s="19" t="s">
        <v>144</v>
      </c>
      <c r="C104" s="19" t="s">
        <v>145</v>
      </c>
      <c r="D104" s="19" t="s">
        <v>1430</v>
      </c>
      <c r="E104" s="19" t="s">
        <v>147</v>
      </c>
      <c r="F104" s="19" t="s">
        <v>148</v>
      </c>
    </row>
    <row r="105" spans="2:6">
      <c r="B105" s="5" t="s">
        <v>466</v>
      </c>
      <c r="C105" s="5" t="s">
        <v>143</v>
      </c>
      <c r="D105" s="6" t="s">
        <v>149</v>
      </c>
      <c r="E105" s="6" t="s">
        <v>537</v>
      </c>
      <c r="F105" s="6" t="s">
        <v>538</v>
      </c>
    </row>
    <row r="106" spans="2:6">
      <c r="B106" s="5" t="s">
        <v>461</v>
      </c>
      <c r="C106" s="5" t="s">
        <v>143</v>
      </c>
      <c r="D106" s="6" t="s">
        <v>149</v>
      </c>
      <c r="E106" s="6" t="s">
        <v>539</v>
      </c>
      <c r="F106" s="6" t="s">
        <v>540</v>
      </c>
    </row>
    <row r="107" spans="2:6">
      <c r="B107" s="5" t="s">
        <v>483</v>
      </c>
      <c r="C107" s="5" t="s">
        <v>143</v>
      </c>
      <c r="D107" s="6" t="s">
        <v>244</v>
      </c>
      <c r="E107" s="6" t="s">
        <v>539</v>
      </c>
      <c r="F107" s="6" t="s">
        <v>541</v>
      </c>
    </row>
  </sheetData>
  <mergeCells count="30">
    <mergeCell ref="A74:R74"/>
    <mergeCell ref="A79:R79"/>
    <mergeCell ref="A83:R83"/>
    <mergeCell ref="A89:R89"/>
    <mergeCell ref="B3:B4"/>
    <mergeCell ref="A39:R39"/>
    <mergeCell ref="A42:R42"/>
    <mergeCell ref="A45:R45"/>
    <mergeCell ref="A48:R48"/>
    <mergeCell ref="A56:R56"/>
    <mergeCell ref="A64:R64"/>
    <mergeCell ref="A9:R9"/>
    <mergeCell ref="A12:R12"/>
    <mergeCell ref="A17:R17"/>
    <mergeCell ref="A24:R24"/>
    <mergeCell ref="A33:R33"/>
    <mergeCell ref="A36:R36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80"/>
  <sheetViews>
    <sheetView workbookViewId="0">
      <selection activeCell="E65" sqref="E65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3.1640625" style="5" bestFit="1" customWidth="1"/>
    <col min="7" max="9" width="5.5" style="6" customWidth="1"/>
    <col min="10" max="10" width="4.83203125" style="6" customWidth="1"/>
    <col min="11" max="11" width="10.5" style="30" bestFit="1" customWidth="1"/>
    <col min="12" max="12" width="8.5" style="6" bestFit="1" customWidth="1"/>
    <col min="13" max="13" width="31.5" style="5" bestFit="1" customWidth="1"/>
    <col min="14" max="16384" width="9.1640625" style="3"/>
  </cols>
  <sheetData>
    <row r="1" spans="1:13" s="2" customFormat="1" ht="29" customHeight="1">
      <c r="A1" s="35" t="s">
        <v>1478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1488</v>
      </c>
      <c r="B3" s="55" t="s">
        <v>0</v>
      </c>
      <c r="C3" s="45" t="s">
        <v>1620</v>
      </c>
      <c r="D3" s="45" t="s">
        <v>5</v>
      </c>
      <c r="E3" s="47" t="s">
        <v>1621</v>
      </c>
      <c r="F3" s="47" t="s">
        <v>6</v>
      </c>
      <c r="G3" s="47" t="s">
        <v>8</v>
      </c>
      <c r="H3" s="47"/>
      <c r="I3" s="47"/>
      <c r="J3" s="47"/>
      <c r="K3" s="49" t="s">
        <v>587</v>
      </c>
      <c r="L3" s="47" t="s">
        <v>3</v>
      </c>
      <c r="M3" s="51" t="s">
        <v>2</v>
      </c>
    </row>
    <row r="4" spans="1:13" s="1" customFormat="1" ht="21" customHeight="1" thickBot="1">
      <c r="A4" s="44"/>
      <c r="B4" s="56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50"/>
      <c r="L4" s="46"/>
      <c r="M4" s="52"/>
    </row>
    <row r="5" spans="1:13" ht="16">
      <c r="A5" s="53" t="s">
        <v>356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165</v>
      </c>
      <c r="B6" s="7" t="s">
        <v>588</v>
      </c>
      <c r="C6" s="7" t="s">
        <v>589</v>
      </c>
      <c r="D6" s="7" t="s">
        <v>428</v>
      </c>
      <c r="E6" s="7" t="s">
        <v>1624</v>
      </c>
      <c r="F6" s="7" t="s">
        <v>1515</v>
      </c>
      <c r="G6" s="21" t="s">
        <v>371</v>
      </c>
      <c r="H6" s="21" t="s">
        <v>372</v>
      </c>
      <c r="I6" s="21" t="s">
        <v>179</v>
      </c>
      <c r="J6" s="8"/>
      <c r="K6" s="33" t="str">
        <f>"80,0"</f>
        <v>80,0</v>
      </c>
      <c r="L6" s="8" t="str">
        <f>"100,9824"</f>
        <v>100,9824</v>
      </c>
      <c r="M6" s="7" t="s">
        <v>590</v>
      </c>
    </row>
    <row r="7" spans="1:13">
      <c r="B7" s="5" t="s">
        <v>166</v>
      </c>
    </row>
    <row r="8" spans="1:13" ht="16">
      <c r="A8" s="48" t="s">
        <v>183</v>
      </c>
      <c r="B8" s="48"/>
      <c r="C8" s="48"/>
      <c r="D8" s="48"/>
      <c r="E8" s="48"/>
      <c r="F8" s="48"/>
      <c r="G8" s="48"/>
      <c r="H8" s="48"/>
      <c r="I8" s="48"/>
      <c r="J8" s="48"/>
    </row>
    <row r="9" spans="1:13">
      <c r="A9" s="10" t="s">
        <v>165</v>
      </c>
      <c r="B9" s="9" t="s">
        <v>591</v>
      </c>
      <c r="C9" s="9" t="s">
        <v>592</v>
      </c>
      <c r="D9" s="9" t="s">
        <v>593</v>
      </c>
      <c r="E9" s="9" t="s">
        <v>1626</v>
      </c>
      <c r="F9" s="9" t="s">
        <v>1547</v>
      </c>
      <c r="G9" s="22" t="s">
        <v>354</v>
      </c>
      <c r="H9" s="23" t="s">
        <v>366</v>
      </c>
      <c r="I9" s="23" t="s">
        <v>366</v>
      </c>
      <c r="J9" s="10"/>
      <c r="K9" s="31" t="str">
        <f>"47,5"</f>
        <v>47,5</v>
      </c>
      <c r="L9" s="10" t="str">
        <f>"54,1548"</f>
        <v>54,1548</v>
      </c>
      <c r="M9" s="9" t="s">
        <v>264</v>
      </c>
    </row>
    <row r="10" spans="1:13">
      <c r="A10" s="12" t="s">
        <v>165</v>
      </c>
      <c r="B10" s="11" t="s">
        <v>594</v>
      </c>
      <c r="C10" s="11" t="s">
        <v>595</v>
      </c>
      <c r="D10" s="11" t="s">
        <v>185</v>
      </c>
      <c r="E10" s="11" t="s">
        <v>1623</v>
      </c>
      <c r="F10" s="11" t="s">
        <v>1510</v>
      </c>
      <c r="G10" s="25" t="s">
        <v>97</v>
      </c>
      <c r="H10" s="24" t="s">
        <v>204</v>
      </c>
      <c r="I10" s="24" t="s">
        <v>54</v>
      </c>
      <c r="J10" s="12"/>
      <c r="K10" s="34" t="str">
        <f>"130,0"</f>
        <v>130,0</v>
      </c>
      <c r="L10" s="12" t="str">
        <f>"144,9370"</f>
        <v>144,9370</v>
      </c>
      <c r="M10" s="11" t="s">
        <v>596</v>
      </c>
    </row>
    <row r="11" spans="1:13">
      <c r="A11" s="14" t="s">
        <v>169</v>
      </c>
      <c r="B11" s="13" t="s">
        <v>597</v>
      </c>
      <c r="C11" s="13" t="s">
        <v>384</v>
      </c>
      <c r="D11" s="13" t="s">
        <v>598</v>
      </c>
      <c r="E11" s="13" t="s">
        <v>1623</v>
      </c>
      <c r="F11" s="13" t="s">
        <v>1568</v>
      </c>
      <c r="G11" s="26" t="s">
        <v>181</v>
      </c>
      <c r="H11" s="26" t="s">
        <v>347</v>
      </c>
      <c r="I11" s="26" t="s">
        <v>259</v>
      </c>
      <c r="J11" s="14"/>
      <c r="K11" s="32" t="str">
        <f>"0.00"</f>
        <v>0.00</v>
      </c>
      <c r="L11" s="14" t="str">
        <f>"0,0000"</f>
        <v>0,0000</v>
      </c>
      <c r="M11" s="28" t="s">
        <v>1428</v>
      </c>
    </row>
    <row r="12" spans="1:13">
      <c r="B12" s="5" t="s">
        <v>166</v>
      </c>
    </row>
    <row r="13" spans="1:13" ht="16">
      <c r="A13" s="48" t="s">
        <v>191</v>
      </c>
      <c r="B13" s="48"/>
      <c r="C13" s="48"/>
      <c r="D13" s="48"/>
      <c r="E13" s="48"/>
      <c r="F13" s="48"/>
      <c r="G13" s="48"/>
      <c r="H13" s="48"/>
      <c r="I13" s="48"/>
      <c r="J13" s="48"/>
    </row>
    <row r="14" spans="1:13">
      <c r="A14" s="8" t="s">
        <v>165</v>
      </c>
      <c r="B14" s="7" t="s">
        <v>599</v>
      </c>
      <c r="C14" s="7" t="s">
        <v>600</v>
      </c>
      <c r="D14" s="7" t="s">
        <v>601</v>
      </c>
      <c r="E14" s="7" t="s">
        <v>1623</v>
      </c>
      <c r="F14" s="7" t="s">
        <v>1490</v>
      </c>
      <c r="G14" s="21" t="s">
        <v>220</v>
      </c>
      <c r="H14" s="21" t="s">
        <v>395</v>
      </c>
      <c r="I14" s="20" t="s">
        <v>391</v>
      </c>
      <c r="J14" s="8"/>
      <c r="K14" s="33" t="str">
        <f>"107,5"</f>
        <v>107,5</v>
      </c>
      <c r="L14" s="8" t="str">
        <f>"109,9510"</f>
        <v>109,9510</v>
      </c>
      <c r="M14" s="7" t="s">
        <v>276</v>
      </c>
    </row>
    <row r="15" spans="1:13">
      <c r="B15" s="5" t="s">
        <v>166</v>
      </c>
    </row>
    <row r="16" spans="1:13" ht="16">
      <c r="A16" s="48" t="s">
        <v>22</v>
      </c>
      <c r="B16" s="48"/>
      <c r="C16" s="48"/>
      <c r="D16" s="48"/>
      <c r="E16" s="48"/>
      <c r="F16" s="48"/>
      <c r="G16" s="48"/>
      <c r="H16" s="48"/>
      <c r="I16" s="48"/>
      <c r="J16" s="48"/>
    </row>
    <row r="17" spans="1:13">
      <c r="A17" s="10" t="s">
        <v>165</v>
      </c>
      <c r="B17" s="9" t="s">
        <v>602</v>
      </c>
      <c r="C17" s="9" t="s">
        <v>603</v>
      </c>
      <c r="D17" s="9" t="s">
        <v>604</v>
      </c>
      <c r="E17" s="9" t="s">
        <v>1623</v>
      </c>
      <c r="F17" s="9" t="s">
        <v>1509</v>
      </c>
      <c r="G17" s="22" t="s">
        <v>61</v>
      </c>
      <c r="H17" s="22" t="s">
        <v>201</v>
      </c>
      <c r="I17" s="22" t="s">
        <v>272</v>
      </c>
      <c r="J17" s="10"/>
      <c r="K17" s="31" t="str">
        <f>"212,5"</f>
        <v>212,5</v>
      </c>
      <c r="L17" s="10" t="str">
        <f>"152,1288"</f>
        <v>152,1288</v>
      </c>
      <c r="M17" s="9" t="s">
        <v>264</v>
      </c>
    </row>
    <row r="18" spans="1:13">
      <c r="A18" s="14" t="s">
        <v>165</v>
      </c>
      <c r="B18" s="13" t="s">
        <v>602</v>
      </c>
      <c r="C18" s="13" t="s">
        <v>605</v>
      </c>
      <c r="D18" s="13" t="s">
        <v>604</v>
      </c>
      <c r="E18" s="13" t="s">
        <v>1624</v>
      </c>
      <c r="F18" s="13" t="s">
        <v>1509</v>
      </c>
      <c r="G18" s="27" t="s">
        <v>61</v>
      </c>
      <c r="H18" s="27" t="s">
        <v>201</v>
      </c>
      <c r="I18" s="27" t="s">
        <v>272</v>
      </c>
      <c r="J18" s="14"/>
      <c r="K18" s="32" t="str">
        <f>"212,5"</f>
        <v>212,5</v>
      </c>
      <c r="L18" s="14" t="str">
        <f>"154,2586"</f>
        <v>154,2586</v>
      </c>
      <c r="M18" s="13" t="s">
        <v>264</v>
      </c>
    </row>
    <row r="19" spans="1:13">
      <c r="B19" s="5" t="s">
        <v>166</v>
      </c>
    </row>
    <row r="20" spans="1:13" ht="16">
      <c r="A20" s="48" t="s">
        <v>10</v>
      </c>
      <c r="B20" s="48"/>
      <c r="C20" s="48"/>
      <c r="D20" s="48"/>
      <c r="E20" s="48"/>
      <c r="F20" s="48"/>
      <c r="G20" s="48"/>
      <c r="H20" s="48"/>
      <c r="I20" s="48"/>
      <c r="J20" s="48"/>
    </row>
    <row r="21" spans="1:13">
      <c r="A21" s="10" t="s">
        <v>165</v>
      </c>
      <c r="B21" s="9" t="s">
        <v>606</v>
      </c>
      <c r="C21" s="9" t="s">
        <v>607</v>
      </c>
      <c r="D21" s="9" t="s">
        <v>608</v>
      </c>
      <c r="E21" s="9" t="s">
        <v>1626</v>
      </c>
      <c r="F21" s="9" t="s">
        <v>1490</v>
      </c>
      <c r="G21" s="23" t="s">
        <v>14</v>
      </c>
      <c r="H21" s="22" t="s">
        <v>14</v>
      </c>
      <c r="I21" s="23" t="s">
        <v>15</v>
      </c>
      <c r="J21" s="10"/>
      <c r="K21" s="31" t="str">
        <f>"150,0"</f>
        <v>150,0</v>
      </c>
      <c r="L21" s="10" t="str">
        <f>"100,8600"</f>
        <v>100,8600</v>
      </c>
      <c r="M21" s="9" t="s">
        <v>609</v>
      </c>
    </row>
    <row r="22" spans="1:13">
      <c r="A22" s="12" t="s">
        <v>165</v>
      </c>
      <c r="B22" s="11" t="s">
        <v>610</v>
      </c>
      <c r="C22" s="11" t="s">
        <v>611</v>
      </c>
      <c r="D22" s="11" t="s">
        <v>50</v>
      </c>
      <c r="E22" s="11" t="s">
        <v>1623</v>
      </c>
      <c r="F22" s="11" t="s">
        <v>1569</v>
      </c>
      <c r="G22" s="25" t="s">
        <v>39</v>
      </c>
      <c r="H22" s="25" t="s">
        <v>114</v>
      </c>
      <c r="I22" s="25" t="s">
        <v>265</v>
      </c>
      <c r="J22" s="12"/>
      <c r="K22" s="34" t="str">
        <f>"195,0"</f>
        <v>195,0</v>
      </c>
      <c r="L22" s="12" t="str">
        <f>"131,6055"</f>
        <v>131,6055</v>
      </c>
      <c r="M22" s="11" t="s">
        <v>264</v>
      </c>
    </row>
    <row r="23" spans="1:13">
      <c r="A23" s="12" t="s">
        <v>167</v>
      </c>
      <c r="B23" s="11" t="s">
        <v>612</v>
      </c>
      <c r="C23" s="11" t="s">
        <v>613</v>
      </c>
      <c r="D23" s="11" t="s">
        <v>614</v>
      </c>
      <c r="E23" s="11" t="s">
        <v>1623</v>
      </c>
      <c r="F23" s="11" t="s">
        <v>1570</v>
      </c>
      <c r="G23" s="25" t="s">
        <v>20</v>
      </c>
      <c r="H23" s="25" t="s">
        <v>114</v>
      </c>
      <c r="I23" s="24" t="s">
        <v>265</v>
      </c>
      <c r="J23" s="12"/>
      <c r="K23" s="34" t="str">
        <f>"192,5"</f>
        <v>192,5</v>
      </c>
      <c r="L23" s="12" t="str">
        <f>"129,0520"</f>
        <v>129,0520</v>
      </c>
      <c r="M23" s="11" t="s">
        <v>264</v>
      </c>
    </row>
    <row r="24" spans="1:13">
      <c r="A24" s="12" t="s">
        <v>168</v>
      </c>
      <c r="B24" s="11" t="s">
        <v>615</v>
      </c>
      <c r="C24" s="11" t="s">
        <v>616</v>
      </c>
      <c r="D24" s="11" t="s">
        <v>608</v>
      </c>
      <c r="E24" s="11" t="s">
        <v>1623</v>
      </c>
      <c r="F24" s="11" t="s">
        <v>1617</v>
      </c>
      <c r="G24" s="25" t="s">
        <v>20</v>
      </c>
      <c r="H24" s="25" t="s">
        <v>39</v>
      </c>
      <c r="I24" s="24" t="s">
        <v>114</v>
      </c>
      <c r="J24" s="12"/>
      <c r="K24" s="34" t="str">
        <f>"187,5"</f>
        <v>187,5</v>
      </c>
      <c r="L24" s="12" t="str">
        <f>"126,0750"</f>
        <v>126,0750</v>
      </c>
      <c r="M24" s="11" t="s">
        <v>617</v>
      </c>
    </row>
    <row r="25" spans="1:13">
      <c r="A25" s="12" t="s">
        <v>170</v>
      </c>
      <c r="B25" s="11" t="s">
        <v>618</v>
      </c>
      <c r="C25" s="11" t="s">
        <v>619</v>
      </c>
      <c r="D25" s="11" t="s">
        <v>620</v>
      </c>
      <c r="E25" s="11" t="s">
        <v>1623</v>
      </c>
      <c r="F25" s="11" t="s">
        <v>1490</v>
      </c>
      <c r="G25" s="24" t="s">
        <v>19</v>
      </c>
      <c r="H25" s="25" t="s">
        <v>19</v>
      </c>
      <c r="I25" s="25" t="s">
        <v>139</v>
      </c>
      <c r="J25" s="12"/>
      <c r="K25" s="34" t="str">
        <f>"175,0"</f>
        <v>175,0</v>
      </c>
      <c r="L25" s="12" t="str">
        <f>"118,9125"</f>
        <v>118,9125</v>
      </c>
      <c r="M25" s="11" t="s">
        <v>264</v>
      </c>
    </row>
    <row r="26" spans="1:13">
      <c r="A26" s="12" t="s">
        <v>165</v>
      </c>
      <c r="B26" s="11" t="s">
        <v>621</v>
      </c>
      <c r="C26" s="11" t="s">
        <v>622</v>
      </c>
      <c r="D26" s="11" t="s">
        <v>550</v>
      </c>
      <c r="E26" s="11" t="s">
        <v>1624</v>
      </c>
      <c r="F26" s="11" t="s">
        <v>1535</v>
      </c>
      <c r="G26" s="25" t="s">
        <v>19</v>
      </c>
      <c r="H26" s="25" t="s">
        <v>37</v>
      </c>
      <c r="I26" s="24" t="s">
        <v>139</v>
      </c>
      <c r="J26" s="12"/>
      <c r="K26" s="34" t="str">
        <f>"170,0"</f>
        <v>170,0</v>
      </c>
      <c r="L26" s="12" t="str">
        <f>"114,8180"</f>
        <v>114,8180</v>
      </c>
      <c r="M26" s="11" t="s">
        <v>264</v>
      </c>
    </row>
    <row r="27" spans="1:13">
      <c r="A27" s="14" t="s">
        <v>165</v>
      </c>
      <c r="B27" s="13" t="s">
        <v>623</v>
      </c>
      <c r="C27" s="13" t="s">
        <v>624</v>
      </c>
      <c r="D27" s="13" t="s">
        <v>472</v>
      </c>
      <c r="E27" s="13" t="s">
        <v>1627</v>
      </c>
      <c r="F27" s="13" t="s">
        <v>1523</v>
      </c>
      <c r="G27" s="26" t="s">
        <v>14</v>
      </c>
      <c r="H27" s="27" t="s">
        <v>14</v>
      </c>
      <c r="I27" s="26" t="s">
        <v>29</v>
      </c>
      <c r="J27" s="14"/>
      <c r="K27" s="32" t="str">
        <f>"150,0"</f>
        <v>150,0</v>
      </c>
      <c r="L27" s="14" t="str">
        <f>"119,8989"</f>
        <v>119,8989</v>
      </c>
      <c r="M27" s="13" t="s">
        <v>264</v>
      </c>
    </row>
    <row r="28" spans="1:13">
      <c r="B28" s="5" t="s">
        <v>166</v>
      </c>
    </row>
    <row r="29" spans="1:13" ht="16">
      <c r="A29" s="48" t="s">
        <v>64</v>
      </c>
      <c r="B29" s="48"/>
      <c r="C29" s="48"/>
      <c r="D29" s="48"/>
      <c r="E29" s="48"/>
      <c r="F29" s="48"/>
      <c r="G29" s="48"/>
      <c r="H29" s="48"/>
      <c r="I29" s="48"/>
      <c r="J29" s="48"/>
    </row>
    <row r="30" spans="1:13">
      <c r="A30" s="10" t="s">
        <v>165</v>
      </c>
      <c r="B30" s="9" t="s">
        <v>625</v>
      </c>
      <c r="C30" s="9" t="s">
        <v>626</v>
      </c>
      <c r="D30" s="9" t="s">
        <v>627</v>
      </c>
      <c r="E30" s="9" t="s">
        <v>1623</v>
      </c>
      <c r="F30" s="9" t="s">
        <v>1571</v>
      </c>
      <c r="G30" s="22" t="s">
        <v>37</v>
      </c>
      <c r="H30" s="22" t="s">
        <v>20</v>
      </c>
      <c r="I30" s="22" t="s">
        <v>21</v>
      </c>
      <c r="J30" s="10"/>
      <c r="K30" s="31" t="str">
        <f>"190,0"</f>
        <v>190,0</v>
      </c>
      <c r="L30" s="10" t="str">
        <f>"123,4810"</f>
        <v>123,4810</v>
      </c>
      <c r="M30" s="9" t="s">
        <v>628</v>
      </c>
    </row>
    <row r="31" spans="1:13">
      <c r="A31" s="14" t="s">
        <v>169</v>
      </c>
      <c r="B31" s="13" t="s">
        <v>629</v>
      </c>
      <c r="C31" s="13" t="s">
        <v>630</v>
      </c>
      <c r="D31" s="13" t="s">
        <v>631</v>
      </c>
      <c r="E31" s="13" t="s">
        <v>1627</v>
      </c>
      <c r="F31" s="13" t="s">
        <v>1490</v>
      </c>
      <c r="G31" s="26" t="s">
        <v>14</v>
      </c>
      <c r="H31" s="26" t="s">
        <v>55</v>
      </c>
      <c r="I31" s="26" t="s">
        <v>55</v>
      </c>
      <c r="J31" s="14"/>
      <c r="K31" s="32">
        <v>0</v>
      </c>
      <c r="L31" s="14" t="str">
        <f>"0,0000"</f>
        <v>0,0000</v>
      </c>
      <c r="M31" s="13" t="s">
        <v>84</v>
      </c>
    </row>
    <row r="32" spans="1:13">
      <c r="B32" s="5" t="s">
        <v>166</v>
      </c>
    </row>
    <row r="33" spans="1:13" ht="16">
      <c r="A33" s="48" t="s">
        <v>70</v>
      </c>
      <c r="B33" s="48"/>
      <c r="C33" s="48"/>
      <c r="D33" s="48"/>
      <c r="E33" s="48"/>
      <c r="F33" s="48"/>
      <c r="G33" s="48"/>
      <c r="H33" s="48"/>
      <c r="I33" s="48"/>
      <c r="J33" s="48"/>
    </row>
    <row r="34" spans="1:13">
      <c r="A34" s="10" t="s">
        <v>165</v>
      </c>
      <c r="B34" s="9" t="s">
        <v>632</v>
      </c>
      <c r="C34" s="9" t="s">
        <v>633</v>
      </c>
      <c r="D34" s="9" t="s">
        <v>634</v>
      </c>
      <c r="E34" s="9" t="s">
        <v>1623</v>
      </c>
      <c r="F34" s="9" t="s">
        <v>1523</v>
      </c>
      <c r="G34" s="22" t="s">
        <v>26</v>
      </c>
      <c r="H34" s="22" t="s">
        <v>464</v>
      </c>
      <c r="I34" s="23" t="s">
        <v>27</v>
      </c>
      <c r="J34" s="10"/>
      <c r="K34" s="31" t="str">
        <f>"232,5"</f>
        <v>232,5</v>
      </c>
      <c r="L34" s="10" t="str">
        <f>"146,3587"</f>
        <v>146,3587</v>
      </c>
      <c r="M34" s="9" t="s">
        <v>635</v>
      </c>
    </row>
    <row r="35" spans="1:13">
      <c r="A35" s="12" t="s">
        <v>167</v>
      </c>
      <c r="B35" s="11" t="s">
        <v>78</v>
      </c>
      <c r="C35" s="11" t="s">
        <v>79</v>
      </c>
      <c r="D35" s="11" t="s">
        <v>80</v>
      </c>
      <c r="E35" s="11" t="s">
        <v>1623</v>
      </c>
      <c r="F35" s="11" t="s">
        <v>1615</v>
      </c>
      <c r="G35" s="25" t="s">
        <v>51</v>
      </c>
      <c r="H35" s="25" t="s">
        <v>52</v>
      </c>
      <c r="I35" s="24" t="s">
        <v>26</v>
      </c>
      <c r="J35" s="12"/>
      <c r="K35" s="34" t="str">
        <f>"215,0"</f>
        <v>215,0</v>
      </c>
      <c r="L35" s="12" t="str">
        <f>"133,1065"</f>
        <v>133,1065</v>
      </c>
      <c r="M35" s="11" t="s">
        <v>84</v>
      </c>
    </row>
    <row r="36" spans="1:13">
      <c r="A36" s="12" t="s">
        <v>168</v>
      </c>
      <c r="B36" s="11" t="s">
        <v>636</v>
      </c>
      <c r="C36" s="11" t="s">
        <v>637</v>
      </c>
      <c r="D36" s="11" t="s">
        <v>638</v>
      </c>
      <c r="E36" s="11" t="s">
        <v>1623</v>
      </c>
      <c r="F36" s="11" t="s">
        <v>1572</v>
      </c>
      <c r="G36" s="25" t="s">
        <v>201</v>
      </c>
      <c r="H36" s="25" t="s">
        <v>52</v>
      </c>
      <c r="I36" s="24" t="s">
        <v>205</v>
      </c>
      <c r="J36" s="12"/>
      <c r="K36" s="34" t="str">
        <f>"215,0"</f>
        <v>215,0</v>
      </c>
      <c r="L36" s="12" t="str">
        <f>"130,9995"</f>
        <v>130,9995</v>
      </c>
      <c r="M36" s="11" t="s">
        <v>264</v>
      </c>
    </row>
    <row r="37" spans="1:13">
      <c r="A37" s="12" t="s">
        <v>170</v>
      </c>
      <c r="B37" s="11" t="s">
        <v>639</v>
      </c>
      <c r="C37" s="11" t="s">
        <v>640</v>
      </c>
      <c r="D37" s="11" t="s">
        <v>641</v>
      </c>
      <c r="E37" s="11" t="s">
        <v>1623</v>
      </c>
      <c r="F37" s="11" t="s">
        <v>1525</v>
      </c>
      <c r="G37" s="25" t="s">
        <v>39</v>
      </c>
      <c r="H37" s="25" t="s">
        <v>114</v>
      </c>
      <c r="I37" s="24" t="s">
        <v>61</v>
      </c>
      <c r="J37" s="12"/>
      <c r="K37" s="34" t="str">
        <f>"192,5"</f>
        <v>192,5</v>
      </c>
      <c r="L37" s="12" t="str">
        <f>"118,6955"</f>
        <v>118,6955</v>
      </c>
      <c r="M37" s="11" t="s">
        <v>264</v>
      </c>
    </row>
    <row r="38" spans="1:13">
      <c r="A38" s="12" t="s">
        <v>542</v>
      </c>
      <c r="B38" s="11" t="s">
        <v>642</v>
      </c>
      <c r="C38" s="11" t="s">
        <v>643</v>
      </c>
      <c r="D38" s="11" t="s">
        <v>644</v>
      </c>
      <c r="E38" s="11" t="s">
        <v>1623</v>
      </c>
      <c r="F38" s="11" t="s">
        <v>1533</v>
      </c>
      <c r="G38" s="25" t="s">
        <v>20</v>
      </c>
      <c r="H38" s="25" t="s">
        <v>21</v>
      </c>
      <c r="I38" s="24" t="s">
        <v>114</v>
      </c>
      <c r="J38" s="12"/>
      <c r="K38" s="34" t="str">
        <f>"190,0"</f>
        <v>190,0</v>
      </c>
      <c r="L38" s="12" t="str">
        <f>"115,8240"</f>
        <v>115,8240</v>
      </c>
      <c r="M38" s="11" t="s">
        <v>264</v>
      </c>
    </row>
    <row r="39" spans="1:13">
      <c r="A39" s="12" t="s">
        <v>704</v>
      </c>
      <c r="B39" s="11" t="s">
        <v>645</v>
      </c>
      <c r="C39" s="11" t="s">
        <v>646</v>
      </c>
      <c r="D39" s="11" t="s">
        <v>647</v>
      </c>
      <c r="E39" s="11" t="s">
        <v>1623</v>
      </c>
      <c r="F39" s="11" t="s">
        <v>1573</v>
      </c>
      <c r="G39" s="24" t="s">
        <v>139</v>
      </c>
      <c r="H39" s="25" t="s">
        <v>75</v>
      </c>
      <c r="I39" s="24" t="s">
        <v>21</v>
      </c>
      <c r="J39" s="12"/>
      <c r="K39" s="34" t="str">
        <f>"185,0"</f>
        <v>185,0</v>
      </c>
      <c r="L39" s="12" t="str">
        <f>"114,8665"</f>
        <v>114,8665</v>
      </c>
      <c r="M39" s="11" t="s">
        <v>84</v>
      </c>
    </row>
    <row r="40" spans="1:13">
      <c r="A40" s="12" t="s">
        <v>705</v>
      </c>
      <c r="B40" s="11" t="s">
        <v>648</v>
      </c>
      <c r="C40" s="11" t="s">
        <v>649</v>
      </c>
      <c r="D40" s="11" t="s">
        <v>647</v>
      </c>
      <c r="E40" s="11" t="s">
        <v>1623</v>
      </c>
      <c r="F40" s="11" t="s">
        <v>1490</v>
      </c>
      <c r="G40" s="24" t="s">
        <v>74</v>
      </c>
      <c r="H40" s="25" t="s">
        <v>20</v>
      </c>
      <c r="I40" s="24" t="s">
        <v>75</v>
      </c>
      <c r="J40" s="12"/>
      <c r="K40" s="34" t="str">
        <f>"180,0"</f>
        <v>180,0</v>
      </c>
      <c r="L40" s="12" t="str">
        <f>"111,7620"</f>
        <v>111,7620</v>
      </c>
      <c r="M40" s="11" t="s">
        <v>84</v>
      </c>
    </row>
    <row r="41" spans="1:13">
      <c r="A41" s="12" t="s">
        <v>706</v>
      </c>
      <c r="B41" s="11" t="s">
        <v>650</v>
      </c>
      <c r="C41" s="11" t="s">
        <v>651</v>
      </c>
      <c r="D41" s="11" t="s">
        <v>652</v>
      </c>
      <c r="E41" s="11" t="s">
        <v>1623</v>
      </c>
      <c r="F41" s="11" t="s">
        <v>1490</v>
      </c>
      <c r="G41" s="25" t="s">
        <v>14</v>
      </c>
      <c r="H41" s="25" t="s">
        <v>15</v>
      </c>
      <c r="I41" s="24" t="s">
        <v>37</v>
      </c>
      <c r="J41" s="12"/>
      <c r="K41" s="34" t="str">
        <f>"160,0"</f>
        <v>160,0</v>
      </c>
      <c r="L41" s="12" t="str">
        <f>"97,9360"</f>
        <v>97,9360</v>
      </c>
      <c r="M41" s="11" t="s">
        <v>58</v>
      </c>
    </row>
    <row r="42" spans="1:13">
      <c r="A42" s="12" t="s">
        <v>165</v>
      </c>
      <c r="B42" s="11" t="s">
        <v>648</v>
      </c>
      <c r="C42" s="11" t="s">
        <v>653</v>
      </c>
      <c r="D42" s="11" t="s">
        <v>647</v>
      </c>
      <c r="E42" s="11" t="s">
        <v>1624</v>
      </c>
      <c r="F42" s="11" t="s">
        <v>1490</v>
      </c>
      <c r="G42" s="24" t="s">
        <v>74</v>
      </c>
      <c r="H42" s="25" t="s">
        <v>20</v>
      </c>
      <c r="I42" s="24" t="s">
        <v>75</v>
      </c>
      <c r="J42" s="12"/>
      <c r="K42" s="34" t="str">
        <f>"180,0"</f>
        <v>180,0</v>
      </c>
      <c r="L42" s="12" t="str">
        <f>"112,3208"</f>
        <v>112,3208</v>
      </c>
      <c r="M42" s="11" t="s">
        <v>84</v>
      </c>
    </row>
    <row r="43" spans="1:13">
      <c r="A43" s="14" t="s">
        <v>165</v>
      </c>
      <c r="B43" s="13" t="s">
        <v>654</v>
      </c>
      <c r="C43" s="13" t="s">
        <v>655</v>
      </c>
      <c r="D43" s="13" t="s">
        <v>297</v>
      </c>
      <c r="E43" s="13" t="s">
        <v>1627</v>
      </c>
      <c r="F43" s="13" t="s">
        <v>1490</v>
      </c>
      <c r="G43" s="27" t="s">
        <v>37</v>
      </c>
      <c r="H43" s="27" t="s">
        <v>46</v>
      </c>
      <c r="I43" s="26" t="s">
        <v>139</v>
      </c>
      <c r="J43" s="14"/>
      <c r="K43" s="32" t="str">
        <f>"172,5"</f>
        <v>172,5</v>
      </c>
      <c r="L43" s="14" t="str">
        <f>"122,7215"</f>
        <v>122,7215</v>
      </c>
      <c r="M43" s="13" t="s">
        <v>264</v>
      </c>
    </row>
    <row r="44" spans="1:13">
      <c r="B44" s="5" t="s">
        <v>166</v>
      </c>
    </row>
    <row r="45" spans="1:13" ht="16">
      <c r="A45" s="48" t="s">
        <v>99</v>
      </c>
      <c r="B45" s="48"/>
      <c r="C45" s="48"/>
      <c r="D45" s="48"/>
      <c r="E45" s="48"/>
      <c r="F45" s="48"/>
      <c r="G45" s="48"/>
      <c r="H45" s="48"/>
      <c r="I45" s="48"/>
      <c r="J45" s="48"/>
    </row>
    <row r="46" spans="1:13">
      <c r="A46" s="10" t="s">
        <v>165</v>
      </c>
      <c r="B46" s="9" t="s">
        <v>656</v>
      </c>
      <c r="C46" s="9" t="s">
        <v>657</v>
      </c>
      <c r="D46" s="9" t="s">
        <v>658</v>
      </c>
      <c r="E46" s="9" t="s">
        <v>1622</v>
      </c>
      <c r="F46" s="9" t="s">
        <v>1606</v>
      </c>
      <c r="G46" s="22" t="s">
        <v>37</v>
      </c>
      <c r="H46" s="23" t="s">
        <v>139</v>
      </c>
      <c r="I46" s="23" t="s">
        <v>139</v>
      </c>
      <c r="J46" s="10"/>
      <c r="K46" s="31" t="str">
        <f>"170,0"</f>
        <v>170,0</v>
      </c>
      <c r="L46" s="10" t="str">
        <f>"100,5890"</f>
        <v>100,5890</v>
      </c>
      <c r="M46" s="9" t="s">
        <v>1437</v>
      </c>
    </row>
    <row r="47" spans="1:13">
      <c r="A47" s="12" t="s">
        <v>165</v>
      </c>
      <c r="B47" s="11" t="s">
        <v>659</v>
      </c>
      <c r="C47" s="11" t="s">
        <v>660</v>
      </c>
      <c r="D47" s="11" t="s">
        <v>661</v>
      </c>
      <c r="E47" s="11" t="s">
        <v>1623</v>
      </c>
      <c r="F47" s="11" t="s">
        <v>1533</v>
      </c>
      <c r="G47" s="25" t="s">
        <v>214</v>
      </c>
      <c r="H47" s="25" t="s">
        <v>57</v>
      </c>
      <c r="I47" s="24" t="s">
        <v>40</v>
      </c>
      <c r="J47" s="12"/>
      <c r="K47" s="34" t="str">
        <f>"250,0"</f>
        <v>250,0</v>
      </c>
      <c r="L47" s="12" t="str">
        <f>"147,6250"</f>
        <v>147,6250</v>
      </c>
      <c r="M47" s="11" t="s">
        <v>264</v>
      </c>
    </row>
    <row r="48" spans="1:13">
      <c r="A48" s="12" t="s">
        <v>167</v>
      </c>
      <c r="B48" s="11" t="s">
        <v>570</v>
      </c>
      <c r="C48" s="11" t="s">
        <v>571</v>
      </c>
      <c r="D48" s="11" t="s">
        <v>572</v>
      </c>
      <c r="E48" s="11" t="s">
        <v>1623</v>
      </c>
      <c r="F48" s="11" t="s">
        <v>1574</v>
      </c>
      <c r="G48" s="25" t="s">
        <v>26</v>
      </c>
      <c r="H48" s="25" t="s">
        <v>56</v>
      </c>
      <c r="I48" s="24" t="s">
        <v>214</v>
      </c>
      <c r="J48" s="12"/>
      <c r="K48" s="34" t="str">
        <f>"230,0"</f>
        <v>230,0</v>
      </c>
      <c r="L48" s="12" t="str">
        <f>"138,2530"</f>
        <v>138,2530</v>
      </c>
      <c r="M48" s="11" t="s">
        <v>264</v>
      </c>
    </row>
    <row r="49" spans="1:13">
      <c r="A49" s="12" t="s">
        <v>168</v>
      </c>
      <c r="B49" s="11" t="s">
        <v>662</v>
      </c>
      <c r="C49" s="11" t="s">
        <v>663</v>
      </c>
      <c r="D49" s="11" t="s">
        <v>664</v>
      </c>
      <c r="E49" s="11" t="s">
        <v>1623</v>
      </c>
      <c r="F49" s="11" t="s">
        <v>1490</v>
      </c>
      <c r="G49" s="25" t="s">
        <v>265</v>
      </c>
      <c r="H49" s="25" t="s">
        <v>61</v>
      </c>
      <c r="I49" s="25" t="s">
        <v>201</v>
      </c>
      <c r="J49" s="12"/>
      <c r="K49" s="34" t="str">
        <f>"207,5"</f>
        <v>207,5</v>
      </c>
      <c r="L49" s="12" t="str">
        <f>"122,5702"</f>
        <v>122,5702</v>
      </c>
      <c r="M49" s="11" t="s">
        <v>264</v>
      </c>
    </row>
    <row r="50" spans="1:13">
      <c r="A50" s="12" t="s">
        <v>170</v>
      </c>
      <c r="B50" s="11" t="s">
        <v>665</v>
      </c>
      <c r="C50" s="11" t="s">
        <v>666</v>
      </c>
      <c r="D50" s="11" t="s">
        <v>667</v>
      </c>
      <c r="E50" s="11" t="s">
        <v>1623</v>
      </c>
      <c r="F50" s="11" t="s">
        <v>1490</v>
      </c>
      <c r="G50" s="25" t="s">
        <v>21</v>
      </c>
      <c r="H50" s="25" t="s">
        <v>265</v>
      </c>
      <c r="I50" s="25" t="s">
        <v>61</v>
      </c>
      <c r="J50" s="12"/>
      <c r="K50" s="34" t="str">
        <f>"200,0"</f>
        <v>200,0</v>
      </c>
      <c r="L50" s="12" t="str">
        <f>"119,2400"</f>
        <v>119,2400</v>
      </c>
      <c r="M50" s="11" t="s">
        <v>264</v>
      </c>
    </row>
    <row r="51" spans="1:13">
      <c r="A51" s="12" t="s">
        <v>542</v>
      </c>
      <c r="B51" s="11" t="s">
        <v>668</v>
      </c>
      <c r="C51" s="11" t="s">
        <v>669</v>
      </c>
      <c r="D51" s="11" t="s">
        <v>670</v>
      </c>
      <c r="E51" s="11" t="s">
        <v>1623</v>
      </c>
      <c r="F51" s="11" t="s">
        <v>1490</v>
      </c>
      <c r="G51" s="25" t="s">
        <v>253</v>
      </c>
      <c r="H51" s="24" t="s">
        <v>238</v>
      </c>
      <c r="I51" s="24" t="s">
        <v>238</v>
      </c>
      <c r="J51" s="12"/>
      <c r="K51" s="34" t="str">
        <f>"157,5"</f>
        <v>157,5</v>
      </c>
      <c r="L51" s="12" t="str">
        <f>"93,7755"</f>
        <v>93,7755</v>
      </c>
      <c r="M51" s="11" t="s">
        <v>1438</v>
      </c>
    </row>
    <row r="52" spans="1:13">
      <c r="A52" s="12" t="s">
        <v>169</v>
      </c>
      <c r="B52" s="11" t="s">
        <v>671</v>
      </c>
      <c r="C52" s="11" t="s">
        <v>672</v>
      </c>
      <c r="D52" s="11" t="s">
        <v>673</v>
      </c>
      <c r="E52" s="11" t="s">
        <v>1623</v>
      </c>
      <c r="F52" s="11" t="s">
        <v>1490</v>
      </c>
      <c r="G52" s="24" t="s">
        <v>114</v>
      </c>
      <c r="H52" s="24" t="s">
        <v>114</v>
      </c>
      <c r="I52" s="24" t="s">
        <v>114</v>
      </c>
      <c r="J52" s="12"/>
      <c r="K52" s="34">
        <v>0</v>
      </c>
      <c r="L52" s="12" t="str">
        <f>"0,0000"</f>
        <v>0,0000</v>
      </c>
      <c r="M52" s="11" t="s">
        <v>264</v>
      </c>
    </row>
    <row r="53" spans="1:13">
      <c r="A53" s="12" t="s">
        <v>165</v>
      </c>
      <c r="B53" s="11" t="s">
        <v>674</v>
      </c>
      <c r="C53" s="11" t="s">
        <v>675</v>
      </c>
      <c r="D53" s="11" t="s">
        <v>311</v>
      </c>
      <c r="E53" s="11" t="s">
        <v>1624</v>
      </c>
      <c r="F53" s="11" t="s">
        <v>1490</v>
      </c>
      <c r="G53" s="25" t="s">
        <v>238</v>
      </c>
      <c r="H53" s="25" t="s">
        <v>75</v>
      </c>
      <c r="I53" s="24" t="s">
        <v>114</v>
      </c>
      <c r="J53" s="12"/>
      <c r="K53" s="34" t="str">
        <f>"185,0"</f>
        <v>185,0</v>
      </c>
      <c r="L53" s="12" t="str">
        <f>"115,6990"</f>
        <v>115,6990</v>
      </c>
      <c r="M53" s="11" t="s">
        <v>264</v>
      </c>
    </row>
    <row r="54" spans="1:13">
      <c r="A54" s="12" t="s">
        <v>167</v>
      </c>
      <c r="B54" s="11" t="s">
        <v>676</v>
      </c>
      <c r="C54" s="11" t="s">
        <v>677</v>
      </c>
      <c r="D54" s="11" t="s">
        <v>678</v>
      </c>
      <c r="E54" s="11" t="s">
        <v>1624</v>
      </c>
      <c r="F54" s="11" t="s">
        <v>1490</v>
      </c>
      <c r="G54" s="25" t="s">
        <v>15</v>
      </c>
      <c r="H54" s="24" t="s">
        <v>679</v>
      </c>
      <c r="I54" s="24" t="s">
        <v>679</v>
      </c>
      <c r="J54" s="12"/>
      <c r="K54" s="34" t="str">
        <f>"160,0"</f>
        <v>160,0</v>
      </c>
      <c r="L54" s="12" t="str">
        <f>"104,5847"</f>
        <v>104,5847</v>
      </c>
      <c r="M54" s="11" t="s">
        <v>680</v>
      </c>
    </row>
    <row r="55" spans="1:13">
      <c r="A55" s="14" t="s">
        <v>165</v>
      </c>
      <c r="B55" s="13" t="s">
        <v>681</v>
      </c>
      <c r="C55" s="13" t="s">
        <v>682</v>
      </c>
      <c r="D55" s="13" t="s">
        <v>683</v>
      </c>
      <c r="E55" s="13" t="s">
        <v>1629</v>
      </c>
      <c r="F55" s="13" t="s">
        <v>1490</v>
      </c>
      <c r="G55" s="27" t="s">
        <v>62</v>
      </c>
      <c r="H55" s="27" t="s">
        <v>187</v>
      </c>
      <c r="I55" s="27" t="s">
        <v>234</v>
      </c>
      <c r="J55" s="14"/>
      <c r="K55" s="32" t="str">
        <f>"132,5"</f>
        <v>132,5</v>
      </c>
      <c r="L55" s="14" t="str">
        <f>"114,2129"</f>
        <v>114,2129</v>
      </c>
      <c r="M55" s="13" t="s">
        <v>684</v>
      </c>
    </row>
    <row r="56" spans="1:13">
      <c r="B56" s="5" t="s">
        <v>166</v>
      </c>
    </row>
    <row r="57" spans="1:13" ht="16">
      <c r="A57" s="48" t="s">
        <v>109</v>
      </c>
      <c r="B57" s="48"/>
      <c r="C57" s="48"/>
      <c r="D57" s="48"/>
      <c r="E57" s="48"/>
      <c r="F57" s="48"/>
      <c r="G57" s="48"/>
      <c r="H57" s="48"/>
      <c r="I57" s="48"/>
      <c r="J57" s="48"/>
    </row>
    <row r="58" spans="1:13">
      <c r="A58" s="10" t="s">
        <v>165</v>
      </c>
      <c r="B58" s="9" t="s">
        <v>685</v>
      </c>
      <c r="C58" s="9" t="s">
        <v>686</v>
      </c>
      <c r="D58" s="9" t="s">
        <v>687</v>
      </c>
      <c r="E58" s="9" t="s">
        <v>1623</v>
      </c>
      <c r="F58" s="9" t="s">
        <v>1490</v>
      </c>
      <c r="G58" s="22" t="s">
        <v>27</v>
      </c>
      <c r="H58" s="22" t="s">
        <v>28</v>
      </c>
      <c r="I58" s="23" t="s">
        <v>446</v>
      </c>
      <c r="J58" s="10"/>
      <c r="K58" s="31" t="str">
        <f>"242,5"</f>
        <v>242,5</v>
      </c>
      <c r="L58" s="10" t="str">
        <f>"140,0923"</f>
        <v>140,0923</v>
      </c>
      <c r="M58" s="9" t="s">
        <v>264</v>
      </c>
    </row>
    <row r="59" spans="1:13">
      <c r="A59" s="12" t="s">
        <v>167</v>
      </c>
      <c r="B59" s="11" t="s">
        <v>688</v>
      </c>
      <c r="C59" s="11" t="s">
        <v>689</v>
      </c>
      <c r="D59" s="11" t="s">
        <v>690</v>
      </c>
      <c r="E59" s="11" t="s">
        <v>1623</v>
      </c>
      <c r="F59" s="11" t="s">
        <v>1552</v>
      </c>
      <c r="G59" s="25" t="s">
        <v>69</v>
      </c>
      <c r="H59" s="25" t="s">
        <v>201</v>
      </c>
      <c r="I59" s="25" t="s">
        <v>272</v>
      </c>
      <c r="J59" s="12"/>
      <c r="K59" s="34" t="str">
        <f>"212,5"</f>
        <v>212,5</v>
      </c>
      <c r="L59" s="12" t="str">
        <f>"121,8687"</f>
        <v>121,8687</v>
      </c>
      <c r="M59" s="11" t="s">
        <v>691</v>
      </c>
    </row>
    <row r="60" spans="1:13">
      <c r="A60" s="14" t="s">
        <v>165</v>
      </c>
      <c r="B60" s="13" t="s">
        <v>692</v>
      </c>
      <c r="C60" s="13" t="s">
        <v>693</v>
      </c>
      <c r="D60" s="13" t="s">
        <v>521</v>
      </c>
      <c r="E60" s="13" t="s">
        <v>1627</v>
      </c>
      <c r="F60" s="13" t="s">
        <v>1490</v>
      </c>
      <c r="G60" s="27" t="s">
        <v>114</v>
      </c>
      <c r="H60" s="27" t="s">
        <v>265</v>
      </c>
      <c r="I60" s="27" t="s">
        <v>115</v>
      </c>
      <c r="J60" s="14"/>
      <c r="K60" s="32" t="str">
        <f>"197,5"</f>
        <v>197,5</v>
      </c>
      <c r="L60" s="14" t="str">
        <f>"133,1254"</f>
        <v>133,1254</v>
      </c>
      <c r="M60" s="13" t="s">
        <v>1439</v>
      </c>
    </row>
    <row r="61" spans="1:13">
      <c r="B61" s="5" t="s">
        <v>166</v>
      </c>
    </row>
    <row r="62" spans="1:13" ht="16">
      <c r="A62" s="48" t="s">
        <v>330</v>
      </c>
      <c r="B62" s="48"/>
      <c r="C62" s="48"/>
      <c r="D62" s="48"/>
      <c r="E62" s="48"/>
      <c r="F62" s="48"/>
      <c r="G62" s="48"/>
      <c r="H62" s="48"/>
      <c r="I62" s="48"/>
      <c r="J62" s="48"/>
    </row>
    <row r="63" spans="1:13">
      <c r="A63" s="10" t="s">
        <v>165</v>
      </c>
      <c r="B63" s="9" t="s">
        <v>694</v>
      </c>
      <c r="C63" s="9" t="s">
        <v>695</v>
      </c>
      <c r="D63" s="9" t="s">
        <v>696</v>
      </c>
      <c r="E63" s="9" t="s">
        <v>1623</v>
      </c>
      <c r="F63" s="9" t="s">
        <v>1525</v>
      </c>
      <c r="G63" s="22" t="s">
        <v>139</v>
      </c>
      <c r="H63" s="22" t="s">
        <v>20</v>
      </c>
      <c r="I63" s="23" t="s">
        <v>75</v>
      </c>
      <c r="J63" s="10"/>
      <c r="K63" s="31" t="str">
        <f>"180,0"</f>
        <v>180,0</v>
      </c>
      <c r="L63" s="10" t="str">
        <f>"99,9180"</f>
        <v>99,9180</v>
      </c>
      <c r="M63" s="9" t="s">
        <v>264</v>
      </c>
    </row>
    <row r="64" spans="1:13">
      <c r="A64" s="14" t="s">
        <v>165</v>
      </c>
      <c r="B64" s="13" t="s">
        <v>694</v>
      </c>
      <c r="C64" s="13" t="s">
        <v>697</v>
      </c>
      <c r="D64" s="13" t="s">
        <v>696</v>
      </c>
      <c r="E64" s="13" t="s">
        <v>1624</v>
      </c>
      <c r="F64" s="13" t="s">
        <v>1525</v>
      </c>
      <c r="G64" s="27" t="s">
        <v>139</v>
      </c>
      <c r="H64" s="27" t="s">
        <v>20</v>
      </c>
      <c r="I64" s="26" t="s">
        <v>75</v>
      </c>
      <c r="J64" s="14"/>
      <c r="K64" s="32" t="str">
        <f>"180,0"</f>
        <v>180,0</v>
      </c>
      <c r="L64" s="14" t="str">
        <f>"109,5101"</f>
        <v>109,5101</v>
      </c>
      <c r="M64" s="13" t="s">
        <v>264</v>
      </c>
    </row>
    <row r="65" spans="2:6">
      <c r="B65" s="5" t="s">
        <v>166</v>
      </c>
    </row>
    <row r="66" spans="2:6">
      <c r="B66" s="5" t="s">
        <v>166</v>
      </c>
    </row>
    <row r="67" spans="2:6" ht="18">
      <c r="B67" s="15" t="s">
        <v>141</v>
      </c>
      <c r="C67" s="15"/>
    </row>
    <row r="68" spans="2:6" ht="16">
      <c r="B68" s="16" t="s">
        <v>150</v>
      </c>
      <c r="C68" s="16"/>
    </row>
    <row r="69" spans="2:6" ht="14">
      <c r="B69" s="17"/>
      <c r="C69" s="18" t="s">
        <v>143</v>
      </c>
    </row>
    <row r="70" spans="2:6" ht="14">
      <c r="B70" s="19" t="s">
        <v>144</v>
      </c>
      <c r="C70" s="19" t="s">
        <v>145</v>
      </c>
      <c r="D70" s="19" t="s">
        <v>146</v>
      </c>
      <c r="E70" s="19" t="s">
        <v>582</v>
      </c>
      <c r="F70" s="19" t="s">
        <v>148</v>
      </c>
    </row>
    <row r="71" spans="2:6">
      <c r="B71" s="5" t="s">
        <v>602</v>
      </c>
      <c r="C71" s="5" t="s">
        <v>143</v>
      </c>
      <c r="D71" s="6" t="s">
        <v>158</v>
      </c>
      <c r="E71" s="6" t="s">
        <v>272</v>
      </c>
      <c r="F71" s="6" t="s">
        <v>698</v>
      </c>
    </row>
    <row r="72" spans="2:6">
      <c r="B72" s="5" t="s">
        <v>659</v>
      </c>
      <c r="C72" s="5" t="s">
        <v>143</v>
      </c>
      <c r="D72" s="6" t="s">
        <v>152</v>
      </c>
      <c r="E72" s="6" t="s">
        <v>57</v>
      </c>
      <c r="F72" s="6" t="s">
        <v>699</v>
      </c>
    </row>
    <row r="73" spans="2:6">
      <c r="B73" s="5" t="s">
        <v>632</v>
      </c>
      <c r="C73" s="5" t="s">
        <v>143</v>
      </c>
      <c r="D73" s="6" t="s">
        <v>163</v>
      </c>
      <c r="E73" s="6" t="s">
        <v>464</v>
      </c>
      <c r="F73" s="6" t="s">
        <v>700</v>
      </c>
    </row>
    <row r="75" spans="2:6" ht="14">
      <c r="B75" s="17"/>
      <c r="C75" s="18" t="s">
        <v>161</v>
      </c>
    </row>
    <row r="76" spans="2:6" ht="14">
      <c r="B76" s="19" t="s">
        <v>144</v>
      </c>
      <c r="C76" s="19" t="s">
        <v>145</v>
      </c>
      <c r="D76" s="19" t="s">
        <v>146</v>
      </c>
      <c r="E76" s="19" t="s">
        <v>582</v>
      </c>
      <c r="F76" s="19" t="s">
        <v>148</v>
      </c>
    </row>
    <row r="77" spans="2:6">
      <c r="B77" s="5" t="s">
        <v>602</v>
      </c>
      <c r="C77" s="5" t="s">
        <v>164</v>
      </c>
      <c r="D77" s="6" t="s">
        <v>158</v>
      </c>
      <c r="E77" s="6" t="s">
        <v>272</v>
      </c>
      <c r="F77" s="6" t="s">
        <v>701</v>
      </c>
    </row>
    <row r="78" spans="2:6">
      <c r="B78" s="5" t="s">
        <v>692</v>
      </c>
      <c r="C78" s="5" t="s">
        <v>245</v>
      </c>
      <c r="D78" s="6" t="s">
        <v>155</v>
      </c>
      <c r="E78" s="6" t="s">
        <v>115</v>
      </c>
      <c r="F78" s="6" t="s">
        <v>702</v>
      </c>
    </row>
    <row r="79" spans="2:6">
      <c r="B79" s="5" t="s">
        <v>654</v>
      </c>
      <c r="C79" s="5" t="s">
        <v>245</v>
      </c>
      <c r="D79" s="6" t="s">
        <v>163</v>
      </c>
      <c r="E79" s="6" t="s">
        <v>46</v>
      </c>
      <c r="F79" s="6" t="s">
        <v>703</v>
      </c>
    </row>
    <row r="80" spans="2:6">
      <c r="B80" s="5" t="s">
        <v>166</v>
      </c>
    </row>
  </sheetData>
  <mergeCells count="21">
    <mergeCell ref="A45:J45"/>
    <mergeCell ref="A57:J57"/>
    <mergeCell ref="A62:J62"/>
    <mergeCell ref="B3:B4"/>
    <mergeCell ref="A8:J8"/>
    <mergeCell ref="A13:J13"/>
    <mergeCell ref="A16:J16"/>
    <mergeCell ref="A20:J20"/>
    <mergeCell ref="A29:J29"/>
    <mergeCell ref="A33:J33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6.33203125" style="5" bestFit="1" customWidth="1"/>
    <col min="4" max="4" width="15.5" style="5" bestFit="1" customWidth="1"/>
    <col min="5" max="5" width="11.1640625" style="5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30" bestFit="1" customWidth="1"/>
    <col min="12" max="12" width="11.83203125" style="6" customWidth="1"/>
    <col min="13" max="13" width="20.83203125" style="5" customWidth="1"/>
    <col min="14" max="16384" width="9.1640625" style="3"/>
  </cols>
  <sheetData>
    <row r="1" spans="1:13" s="2" customFormat="1" ht="29" customHeight="1">
      <c r="A1" s="35" t="s">
        <v>1479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1488</v>
      </c>
      <c r="B3" s="55" t="s">
        <v>0</v>
      </c>
      <c r="C3" s="45" t="s">
        <v>1620</v>
      </c>
      <c r="D3" s="45" t="s">
        <v>5</v>
      </c>
      <c r="E3" s="47" t="s">
        <v>1621</v>
      </c>
      <c r="F3" s="47" t="s">
        <v>6</v>
      </c>
      <c r="G3" s="47" t="s">
        <v>8</v>
      </c>
      <c r="H3" s="47"/>
      <c r="I3" s="47"/>
      <c r="J3" s="47"/>
      <c r="K3" s="49" t="s">
        <v>587</v>
      </c>
      <c r="L3" s="47" t="s">
        <v>3</v>
      </c>
      <c r="M3" s="51" t="s">
        <v>2</v>
      </c>
    </row>
    <row r="4" spans="1:13" s="1" customFormat="1" ht="21" customHeight="1" thickBot="1">
      <c r="A4" s="44"/>
      <c r="B4" s="56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50"/>
      <c r="L4" s="46"/>
      <c r="M4" s="52"/>
    </row>
    <row r="5" spans="1:13" ht="16">
      <c r="A5" s="53" t="s">
        <v>22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169</v>
      </c>
      <c r="B6" s="7" t="s">
        <v>1059</v>
      </c>
      <c r="C6" s="7" t="s">
        <v>1060</v>
      </c>
      <c r="D6" s="7" t="s">
        <v>263</v>
      </c>
      <c r="E6" s="7" t="s">
        <v>1623</v>
      </c>
      <c r="F6" s="7" t="s">
        <v>1490</v>
      </c>
      <c r="G6" s="20" t="s">
        <v>15</v>
      </c>
      <c r="H6" s="20" t="s">
        <v>19</v>
      </c>
      <c r="I6" s="20" t="s">
        <v>19</v>
      </c>
      <c r="J6" s="8"/>
      <c r="K6" s="33">
        <v>0</v>
      </c>
      <c r="L6" s="8" t="str">
        <f>"0,0000"</f>
        <v>0,0000</v>
      </c>
      <c r="M6" s="7" t="s">
        <v>1061</v>
      </c>
    </row>
    <row r="7" spans="1:13">
      <c r="B7" s="5" t="s">
        <v>166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33"/>
  <sheetViews>
    <sheetView workbookViewId="0">
      <selection activeCell="E33" sqref="E33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10" width="5.5" style="6" customWidth="1"/>
    <col min="11" max="11" width="10.5" style="30" bestFit="1" customWidth="1"/>
    <col min="12" max="12" width="8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35" t="s">
        <v>1480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1488</v>
      </c>
      <c r="B3" s="55" t="s">
        <v>0</v>
      </c>
      <c r="C3" s="45" t="s">
        <v>1620</v>
      </c>
      <c r="D3" s="45" t="s">
        <v>5</v>
      </c>
      <c r="E3" s="47" t="s">
        <v>1621</v>
      </c>
      <c r="F3" s="47" t="s">
        <v>6</v>
      </c>
      <c r="G3" s="47" t="s">
        <v>8</v>
      </c>
      <c r="H3" s="47"/>
      <c r="I3" s="47"/>
      <c r="J3" s="47"/>
      <c r="K3" s="49" t="s">
        <v>587</v>
      </c>
      <c r="L3" s="47" t="s">
        <v>3</v>
      </c>
      <c r="M3" s="51" t="s">
        <v>2</v>
      </c>
    </row>
    <row r="4" spans="1:13" s="1" customFormat="1" ht="21" customHeight="1" thickBot="1">
      <c r="A4" s="44"/>
      <c r="B4" s="56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50"/>
      <c r="L4" s="46"/>
      <c r="M4" s="52"/>
    </row>
    <row r="5" spans="1:13" ht="16">
      <c r="A5" s="53" t="s">
        <v>356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169</v>
      </c>
      <c r="B6" s="7" t="s">
        <v>1025</v>
      </c>
      <c r="C6" s="7" t="s">
        <v>1026</v>
      </c>
      <c r="D6" s="7" t="s">
        <v>1027</v>
      </c>
      <c r="E6" s="7" t="s">
        <v>1623</v>
      </c>
      <c r="F6" s="7" t="s">
        <v>1510</v>
      </c>
      <c r="G6" s="20" t="s">
        <v>179</v>
      </c>
      <c r="H6" s="20" t="s">
        <v>181</v>
      </c>
      <c r="I6" s="20" t="s">
        <v>181</v>
      </c>
      <c r="J6" s="8"/>
      <c r="K6" s="33">
        <v>0</v>
      </c>
      <c r="L6" s="8" t="str">
        <f>"0,0000"</f>
        <v>0,0000</v>
      </c>
      <c r="M6" s="7" t="s">
        <v>1028</v>
      </c>
    </row>
    <row r="7" spans="1:13">
      <c r="B7" s="5" t="s">
        <v>166</v>
      </c>
    </row>
    <row r="8" spans="1:13" ht="16">
      <c r="A8" s="48" t="s">
        <v>191</v>
      </c>
      <c r="B8" s="48"/>
      <c r="C8" s="48"/>
      <c r="D8" s="48"/>
      <c r="E8" s="48"/>
      <c r="F8" s="48"/>
      <c r="G8" s="48"/>
      <c r="H8" s="48"/>
      <c r="I8" s="48"/>
      <c r="J8" s="48"/>
    </row>
    <row r="9" spans="1:13">
      <c r="A9" s="10" t="s">
        <v>165</v>
      </c>
      <c r="B9" s="9" t="s">
        <v>760</v>
      </c>
      <c r="C9" s="9" t="s">
        <v>1029</v>
      </c>
      <c r="D9" s="9" t="s">
        <v>762</v>
      </c>
      <c r="E9" s="9" t="s">
        <v>1623</v>
      </c>
      <c r="F9" s="9" t="s">
        <v>1490</v>
      </c>
      <c r="G9" s="22" t="s">
        <v>62</v>
      </c>
      <c r="H9" s="22" t="s">
        <v>187</v>
      </c>
      <c r="I9" s="23" t="s">
        <v>234</v>
      </c>
      <c r="J9" s="10"/>
      <c r="K9" s="31" t="str">
        <f>"125,0"</f>
        <v>125,0</v>
      </c>
      <c r="L9" s="10" t="str">
        <f>"114,8563"</f>
        <v>114,8563</v>
      </c>
      <c r="M9" s="9" t="s">
        <v>747</v>
      </c>
    </row>
    <row r="10" spans="1:13">
      <c r="A10" s="14" t="s">
        <v>165</v>
      </c>
      <c r="B10" s="13" t="s">
        <v>760</v>
      </c>
      <c r="C10" s="13" t="s">
        <v>761</v>
      </c>
      <c r="D10" s="13" t="s">
        <v>762</v>
      </c>
      <c r="E10" s="13" t="s">
        <v>1627</v>
      </c>
      <c r="F10" s="13" t="s">
        <v>1490</v>
      </c>
      <c r="G10" s="27" t="s">
        <v>62</v>
      </c>
      <c r="H10" s="27" t="s">
        <v>187</v>
      </c>
      <c r="I10" s="26" t="s">
        <v>234</v>
      </c>
      <c r="J10" s="14"/>
      <c r="K10" s="32" t="str">
        <f>"125,0"</f>
        <v>125,0</v>
      </c>
      <c r="L10" s="14" t="str">
        <f>"140,6989"</f>
        <v>140,6989</v>
      </c>
      <c r="M10" s="13" t="s">
        <v>747</v>
      </c>
    </row>
    <row r="11" spans="1:13">
      <c r="B11" s="5" t="s">
        <v>166</v>
      </c>
    </row>
    <row r="12" spans="1:13" ht="16">
      <c r="A12" s="48" t="s">
        <v>10</v>
      </c>
      <c r="B12" s="48"/>
      <c r="C12" s="48"/>
      <c r="D12" s="48"/>
      <c r="E12" s="48"/>
      <c r="F12" s="48"/>
      <c r="G12" s="48"/>
      <c r="H12" s="48"/>
      <c r="I12" s="48"/>
      <c r="J12" s="48"/>
    </row>
    <row r="13" spans="1:13">
      <c r="A13" s="10" t="s">
        <v>165</v>
      </c>
      <c r="B13" s="9" t="s">
        <v>1030</v>
      </c>
      <c r="C13" s="9" t="s">
        <v>1031</v>
      </c>
      <c r="D13" s="9" t="s">
        <v>455</v>
      </c>
      <c r="E13" s="9" t="s">
        <v>1623</v>
      </c>
      <c r="F13" s="9" t="s">
        <v>1498</v>
      </c>
      <c r="G13" s="22" t="s">
        <v>26</v>
      </c>
      <c r="H13" s="22" t="s">
        <v>1032</v>
      </c>
      <c r="I13" s="23" t="s">
        <v>57</v>
      </c>
      <c r="J13" s="10"/>
      <c r="K13" s="31" t="str">
        <f>"235,5"</f>
        <v>235,5</v>
      </c>
      <c r="L13" s="10" t="str">
        <f>"154,9119"</f>
        <v>154,9119</v>
      </c>
      <c r="M13" s="9" t="s">
        <v>1033</v>
      </c>
    </row>
    <row r="14" spans="1:13">
      <c r="A14" s="12" t="s">
        <v>169</v>
      </c>
      <c r="B14" s="11" t="s">
        <v>1034</v>
      </c>
      <c r="C14" s="11" t="s">
        <v>1035</v>
      </c>
      <c r="D14" s="11" t="s">
        <v>1036</v>
      </c>
      <c r="E14" s="11" t="s">
        <v>1623</v>
      </c>
      <c r="F14" s="11" t="s">
        <v>1490</v>
      </c>
      <c r="G14" s="24" t="s">
        <v>15</v>
      </c>
      <c r="H14" s="24" t="s">
        <v>15</v>
      </c>
      <c r="I14" s="24" t="s">
        <v>15</v>
      </c>
      <c r="J14" s="12"/>
      <c r="K14" s="34" t="str">
        <f>"0.00"</f>
        <v>0.00</v>
      </c>
      <c r="L14" s="12" t="str">
        <f>"0,0000"</f>
        <v>0,0000</v>
      </c>
      <c r="M14" s="11" t="s">
        <v>373</v>
      </c>
    </row>
    <row r="15" spans="1:13">
      <c r="A15" s="14" t="s">
        <v>165</v>
      </c>
      <c r="B15" s="13" t="s">
        <v>1037</v>
      </c>
      <c r="C15" s="13" t="s">
        <v>1038</v>
      </c>
      <c r="D15" s="13" t="s">
        <v>1039</v>
      </c>
      <c r="E15" s="13" t="s">
        <v>1627</v>
      </c>
      <c r="F15" s="13" t="s">
        <v>1575</v>
      </c>
      <c r="G15" s="27" t="s">
        <v>98</v>
      </c>
      <c r="H15" s="26" t="s">
        <v>54</v>
      </c>
      <c r="I15" s="27" t="s">
        <v>54</v>
      </c>
      <c r="J15" s="14"/>
      <c r="K15" s="32" t="str">
        <f>"145,0"</f>
        <v>145,0</v>
      </c>
      <c r="L15" s="14" t="str">
        <f>"119,0461"</f>
        <v>119,0461</v>
      </c>
      <c r="M15" s="13" t="s">
        <v>264</v>
      </c>
    </row>
    <row r="16" spans="1:13">
      <c r="B16" s="5" t="s">
        <v>166</v>
      </c>
    </row>
    <row r="17" spans="1:13" ht="16">
      <c r="A17" s="48" t="s">
        <v>64</v>
      </c>
      <c r="B17" s="48"/>
      <c r="C17" s="48"/>
      <c r="D17" s="48"/>
      <c r="E17" s="48"/>
      <c r="F17" s="48"/>
      <c r="G17" s="48"/>
      <c r="H17" s="48"/>
      <c r="I17" s="48"/>
      <c r="J17" s="48"/>
    </row>
    <row r="18" spans="1:13">
      <c r="A18" s="8" t="s">
        <v>169</v>
      </c>
      <c r="B18" s="7" t="s">
        <v>1040</v>
      </c>
      <c r="C18" s="7" t="s">
        <v>1041</v>
      </c>
      <c r="D18" s="7" t="s">
        <v>931</v>
      </c>
      <c r="E18" s="7" t="s">
        <v>1629</v>
      </c>
      <c r="F18" s="7" t="s">
        <v>1490</v>
      </c>
      <c r="G18" s="20" t="s">
        <v>37</v>
      </c>
      <c r="H18" s="20" t="s">
        <v>37</v>
      </c>
      <c r="I18" s="20" t="s">
        <v>37</v>
      </c>
      <c r="J18" s="8"/>
      <c r="K18" s="33">
        <v>0</v>
      </c>
      <c r="L18" s="8" t="str">
        <f>"0,0000"</f>
        <v>0,0000</v>
      </c>
      <c r="M18" s="7" t="s">
        <v>264</v>
      </c>
    </row>
    <row r="19" spans="1:13">
      <c r="B19" s="5" t="s">
        <v>166</v>
      </c>
    </row>
    <row r="20" spans="1:13" ht="16">
      <c r="A20" s="48" t="s">
        <v>70</v>
      </c>
      <c r="B20" s="48"/>
      <c r="C20" s="48"/>
      <c r="D20" s="48"/>
      <c r="E20" s="48"/>
      <c r="F20" s="48"/>
      <c r="G20" s="48"/>
      <c r="H20" s="48"/>
      <c r="I20" s="48"/>
      <c r="J20" s="48"/>
    </row>
    <row r="21" spans="1:13">
      <c r="A21" s="8" t="s">
        <v>165</v>
      </c>
      <c r="B21" s="7" t="s">
        <v>1042</v>
      </c>
      <c r="C21" s="7" t="s">
        <v>1043</v>
      </c>
      <c r="D21" s="7" t="s">
        <v>566</v>
      </c>
      <c r="E21" s="7" t="s">
        <v>1627</v>
      </c>
      <c r="F21" s="7" t="s">
        <v>1609</v>
      </c>
      <c r="G21" s="21" t="s">
        <v>21</v>
      </c>
      <c r="H21" s="21" t="s">
        <v>69</v>
      </c>
      <c r="I21" s="21" t="s">
        <v>127</v>
      </c>
      <c r="J21" s="8"/>
      <c r="K21" s="33" t="str">
        <f>"210,0"</f>
        <v>210,0</v>
      </c>
      <c r="L21" s="8" t="str">
        <f>"143,9888"</f>
        <v>143,9888</v>
      </c>
      <c r="M21" s="7" t="s">
        <v>1044</v>
      </c>
    </row>
    <row r="22" spans="1:13">
      <c r="B22" s="5" t="s">
        <v>166</v>
      </c>
    </row>
    <row r="23" spans="1:13" ht="16">
      <c r="A23" s="48" t="s">
        <v>99</v>
      </c>
      <c r="B23" s="48"/>
      <c r="C23" s="48"/>
      <c r="D23" s="48"/>
      <c r="E23" s="48"/>
      <c r="F23" s="48"/>
      <c r="G23" s="48"/>
      <c r="H23" s="48"/>
      <c r="I23" s="48"/>
      <c r="J23" s="48"/>
    </row>
    <row r="24" spans="1:13">
      <c r="A24" s="10" t="s">
        <v>165</v>
      </c>
      <c r="B24" s="9" t="s">
        <v>1045</v>
      </c>
      <c r="C24" s="9" t="s">
        <v>1046</v>
      </c>
      <c r="D24" s="9" t="s">
        <v>976</v>
      </c>
      <c r="E24" s="9" t="s">
        <v>1623</v>
      </c>
      <c r="F24" s="9" t="s">
        <v>1576</v>
      </c>
      <c r="G24" s="22" t="s">
        <v>21</v>
      </c>
      <c r="H24" s="23" t="s">
        <v>61</v>
      </c>
      <c r="I24" s="22" t="s">
        <v>61</v>
      </c>
      <c r="J24" s="10"/>
      <c r="K24" s="31" t="str">
        <f>"200,0"</f>
        <v>200,0</v>
      </c>
      <c r="L24" s="10" t="str">
        <f>"113,1300"</f>
        <v>113,1300</v>
      </c>
      <c r="M24" s="9" t="s">
        <v>264</v>
      </c>
    </row>
    <row r="25" spans="1:13">
      <c r="A25" s="14" t="s">
        <v>165</v>
      </c>
      <c r="B25" s="13" t="s">
        <v>1047</v>
      </c>
      <c r="C25" s="13" t="s">
        <v>1048</v>
      </c>
      <c r="D25" s="13" t="s">
        <v>575</v>
      </c>
      <c r="E25" s="13" t="s">
        <v>1627</v>
      </c>
      <c r="F25" s="13" t="s">
        <v>1490</v>
      </c>
      <c r="G25" s="27" t="s">
        <v>75</v>
      </c>
      <c r="H25" s="27" t="s">
        <v>265</v>
      </c>
      <c r="I25" s="27" t="s">
        <v>51</v>
      </c>
      <c r="J25" s="27" t="s">
        <v>272</v>
      </c>
      <c r="K25" s="32" t="str">
        <f>"205,0"</f>
        <v>205,0</v>
      </c>
      <c r="L25" s="14" t="str">
        <f>"152,2694"</f>
        <v>152,2694</v>
      </c>
      <c r="M25" s="13" t="s">
        <v>264</v>
      </c>
    </row>
    <row r="26" spans="1:13">
      <c r="B26" s="5" t="s">
        <v>166</v>
      </c>
    </row>
    <row r="27" spans="1:13" ht="16">
      <c r="A27" s="48" t="s">
        <v>109</v>
      </c>
      <c r="B27" s="48"/>
      <c r="C27" s="48"/>
      <c r="D27" s="48"/>
      <c r="E27" s="48"/>
      <c r="F27" s="48"/>
      <c r="G27" s="48"/>
      <c r="H27" s="48"/>
      <c r="I27" s="48"/>
      <c r="J27" s="48"/>
    </row>
    <row r="28" spans="1:13">
      <c r="A28" s="10" t="s">
        <v>165</v>
      </c>
      <c r="B28" s="9" t="s">
        <v>1049</v>
      </c>
      <c r="C28" s="9" t="s">
        <v>1050</v>
      </c>
      <c r="D28" s="9" t="s">
        <v>1051</v>
      </c>
      <c r="E28" s="9" t="s">
        <v>1623</v>
      </c>
      <c r="F28" s="9" t="s">
        <v>1610</v>
      </c>
      <c r="G28" s="22" t="s">
        <v>68</v>
      </c>
      <c r="H28" s="22" t="s">
        <v>1052</v>
      </c>
      <c r="I28" s="22" t="s">
        <v>76</v>
      </c>
      <c r="J28" s="22" t="s">
        <v>116</v>
      </c>
      <c r="K28" s="31" t="str">
        <f>"310,0"</f>
        <v>310,0</v>
      </c>
      <c r="L28" s="10" t="str">
        <f>"169,1050"</f>
        <v>169,1050</v>
      </c>
      <c r="M28" s="9" t="s">
        <v>1053</v>
      </c>
    </row>
    <row r="29" spans="1:13">
      <c r="A29" s="14" t="s">
        <v>165</v>
      </c>
      <c r="B29" s="13" t="s">
        <v>1049</v>
      </c>
      <c r="C29" s="13" t="s">
        <v>1054</v>
      </c>
      <c r="D29" s="13" t="s">
        <v>1051</v>
      </c>
      <c r="E29" s="13" t="s">
        <v>1627</v>
      </c>
      <c r="F29" s="13" t="s">
        <v>1610</v>
      </c>
      <c r="G29" s="27" t="s">
        <v>68</v>
      </c>
      <c r="H29" s="27" t="s">
        <v>1052</v>
      </c>
      <c r="I29" s="27" t="s">
        <v>76</v>
      </c>
      <c r="J29" s="27" t="s">
        <v>116</v>
      </c>
      <c r="K29" s="32" t="str">
        <f>"310,0"</f>
        <v>310,0</v>
      </c>
      <c r="L29" s="14" t="str">
        <f>"191,0886"</f>
        <v>191,0886</v>
      </c>
      <c r="M29" s="13" t="s">
        <v>1053</v>
      </c>
    </row>
    <row r="30" spans="1:13">
      <c r="B30" s="5" t="s">
        <v>166</v>
      </c>
    </row>
    <row r="31" spans="1:13" ht="16">
      <c r="A31" s="48" t="s">
        <v>132</v>
      </c>
      <c r="B31" s="48"/>
      <c r="C31" s="48"/>
      <c r="D31" s="48"/>
      <c r="E31" s="48"/>
      <c r="F31" s="48"/>
      <c r="G31" s="48"/>
      <c r="H31" s="48"/>
      <c r="I31" s="48"/>
      <c r="J31" s="48"/>
    </row>
    <row r="32" spans="1:13">
      <c r="A32" s="8" t="s">
        <v>165</v>
      </c>
      <c r="B32" s="7" t="s">
        <v>1055</v>
      </c>
      <c r="C32" s="7" t="s">
        <v>1056</v>
      </c>
      <c r="D32" s="7" t="s">
        <v>1057</v>
      </c>
      <c r="E32" s="7" t="s">
        <v>1623</v>
      </c>
      <c r="F32" s="7" t="s">
        <v>1552</v>
      </c>
      <c r="G32" s="21" t="s">
        <v>214</v>
      </c>
      <c r="H32" s="21" t="s">
        <v>30</v>
      </c>
      <c r="I32" s="20" t="s">
        <v>1058</v>
      </c>
      <c r="J32" s="8"/>
      <c r="K32" s="33" t="str">
        <f>"260,0"</f>
        <v>260,0</v>
      </c>
      <c r="L32" s="8" t="str">
        <f>"138,6151"</f>
        <v>138,6151</v>
      </c>
      <c r="M32" s="7" t="s">
        <v>264</v>
      </c>
    </row>
    <row r="33" spans="2:2">
      <c r="B33" s="5" t="s">
        <v>166</v>
      </c>
    </row>
  </sheetData>
  <mergeCells count="19">
    <mergeCell ref="A31:J31"/>
    <mergeCell ref="B3:B4"/>
    <mergeCell ref="A8:J8"/>
    <mergeCell ref="A12:J12"/>
    <mergeCell ref="A17:J17"/>
    <mergeCell ref="A20:J20"/>
    <mergeCell ref="A23:J23"/>
    <mergeCell ref="A27:J27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38"/>
  <sheetViews>
    <sheetView workbookViewId="0">
      <selection activeCell="E29" sqref="E29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3.1640625" style="5" bestFit="1" customWidth="1"/>
    <col min="7" max="9" width="5.5" style="6" customWidth="1"/>
    <col min="10" max="10" width="4.83203125" style="6" customWidth="1"/>
    <col min="11" max="11" width="10.5" style="30" bestFit="1" customWidth="1"/>
    <col min="12" max="12" width="8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35" t="s">
        <v>1481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1488</v>
      </c>
      <c r="B3" s="55" t="s">
        <v>0</v>
      </c>
      <c r="C3" s="45" t="s">
        <v>1620</v>
      </c>
      <c r="D3" s="45" t="s">
        <v>5</v>
      </c>
      <c r="E3" s="47" t="s">
        <v>1621</v>
      </c>
      <c r="F3" s="47" t="s">
        <v>6</v>
      </c>
      <c r="G3" s="47" t="s">
        <v>8</v>
      </c>
      <c r="H3" s="47"/>
      <c r="I3" s="47"/>
      <c r="J3" s="47"/>
      <c r="K3" s="49" t="s">
        <v>587</v>
      </c>
      <c r="L3" s="47" t="s">
        <v>3</v>
      </c>
      <c r="M3" s="51" t="s">
        <v>2</v>
      </c>
    </row>
    <row r="4" spans="1:13" s="1" customFormat="1" ht="21" customHeight="1" thickBot="1">
      <c r="A4" s="44"/>
      <c r="B4" s="56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50"/>
      <c r="L4" s="46"/>
      <c r="M4" s="52"/>
    </row>
    <row r="5" spans="1:13" ht="16">
      <c r="A5" s="53" t="s">
        <v>22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10" t="s">
        <v>165</v>
      </c>
      <c r="B6" s="9" t="s">
        <v>543</v>
      </c>
      <c r="C6" s="9" t="s">
        <v>544</v>
      </c>
      <c r="D6" s="9" t="s">
        <v>545</v>
      </c>
      <c r="E6" s="9" t="s">
        <v>1623</v>
      </c>
      <c r="F6" s="9" t="s">
        <v>1577</v>
      </c>
      <c r="G6" s="22" t="s">
        <v>20</v>
      </c>
      <c r="H6" s="22" t="s">
        <v>21</v>
      </c>
      <c r="I6" s="22" t="s">
        <v>114</v>
      </c>
      <c r="J6" s="10"/>
      <c r="K6" s="31" t="str">
        <f>"192,5"</f>
        <v>192,5</v>
      </c>
      <c r="L6" s="10" t="str">
        <f>"132,8057"</f>
        <v>132,8057</v>
      </c>
      <c r="M6" s="9" t="s">
        <v>264</v>
      </c>
    </row>
    <row r="7" spans="1:13">
      <c r="A7" s="14" t="s">
        <v>167</v>
      </c>
      <c r="B7" s="13" t="s">
        <v>546</v>
      </c>
      <c r="C7" s="13" t="s">
        <v>547</v>
      </c>
      <c r="D7" s="13" t="s">
        <v>270</v>
      </c>
      <c r="E7" s="13" t="s">
        <v>1623</v>
      </c>
      <c r="F7" s="13" t="s">
        <v>1578</v>
      </c>
      <c r="G7" s="27" t="s">
        <v>20</v>
      </c>
      <c r="H7" s="26" t="s">
        <v>114</v>
      </c>
      <c r="I7" s="26" t="s">
        <v>114</v>
      </c>
      <c r="J7" s="14"/>
      <c r="K7" s="32" t="str">
        <f>"180,0"</f>
        <v>180,0</v>
      </c>
      <c r="L7" s="14" t="str">
        <f>"124,0560"</f>
        <v>124,0560</v>
      </c>
      <c r="M7" s="13" t="s">
        <v>264</v>
      </c>
    </row>
    <row r="8" spans="1:13">
      <c r="B8" s="5" t="s">
        <v>166</v>
      </c>
    </row>
    <row r="9" spans="1:13" ht="16">
      <c r="A9" s="48" t="s">
        <v>10</v>
      </c>
      <c r="B9" s="48"/>
      <c r="C9" s="48"/>
      <c r="D9" s="48"/>
      <c r="E9" s="48"/>
      <c r="F9" s="48"/>
      <c r="G9" s="48"/>
      <c r="H9" s="48"/>
      <c r="I9" s="48"/>
      <c r="J9" s="48"/>
    </row>
    <row r="10" spans="1:13">
      <c r="A10" s="8" t="s">
        <v>165</v>
      </c>
      <c r="B10" s="7" t="s">
        <v>548</v>
      </c>
      <c r="C10" s="7" t="s">
        <v>549</v>
      </c>
      <c r="D10" s="7" t="s">
        <v>550</v>
      </c>
      <c r="E10" s="7" t="s">
        <v>1623</v>
      </c>
      <c r="F10" s="7" t="s">
        <v>1579</v>
      </c>
      <c r="G10" s="21" t="s">
        <v>214</v>
      </c>
      <c r="H10" s="21" t="s">
        <v>447</v>
      </c>
      <c r="I10" s="20" t="s">
        <v>465</v>
      </c>
      <c r="J10" s="8"/>
      <c r="K10" s="33" t="str">
        <f>"252,5"</f>
        <v>252,5</v>
      </c>
      <c r="L10" s="8" t="str">
        <f>"164,1881"</f>
        <v>164,1881</v>
      </c>
      <c r="M10" s="7" t="s">
        <v>551</v>
      </c>
    </row>
    <row r="11" spans="1:13">
      <c r="B11" s="5" t="s">
        <v>166</v>
      </c>
    </row>
    <row r="12" spans="1:13" ht="16">
      <c r="A12" s="48" t="s">
        <v>64</v>
      </c>
      <c r="B12" s="48"/>
      <c r="C12" s="48"/>
      <c r="D12" s="48"/>
      <c r="E12" s="48"/>
      <c r="F12" s="48"/>
      <c r="G12" s="48"/>
      <c r="H12" s="48"/>
      <c r="I12" s="48"/>
      <c r="J12" s="48"/>
    </row>
    <row r="13" spans="1:13">
      <c r="A13" s="10" t="s">
        <v>165</v>
      </c>
      <c r="B13" s="9" t="s">
        <v>552</v>
      </c>
      <c r="C13" s="9" t="s">
        <v>553</v>
      </c>
      <c r="D13" s="9" t="s">
        <v>554</v>
      </c>
      <c r="E13" s="9" t="s">
        <v>1623</v>
      </c>
      <c r="F13" s="9" t="s">
        <v>1580</v>
      </c>
      <c r="G13" s="22" t="s">
        <v>198</v>
      </c>
      <c r="H13" s="22" t="s">
        <v>446</v>
      </c>
      <c r="I13" s="22" t="s">
        <v>91</v>
      </c>
      <c r="J13" s="10"/>
      <c r="K13" s="31" t="str">
        <f>"255,0"</f>
        <v>255,0</v>
      </c>
      <c r="L13" s="10" t="str">
        <f>"162,8685"</f>
        <v>162,8685</v>
      </c>
      <c r="M13" s="9" t="s">
        <v>264</v>
      </c>
    </row>
    <row r="14" spans="1:13">
      <c r="A14" s="14" t="s">
        <v>167</v>
      </c>
      <c r="B14" s="13" t="s">
        <v>555</v>
      </c>
      <c r="C14" s="13" t="s">
        <v>556</v>
      </c>
      <c r="D14" s="13" t="s">
        <v>557</v>
      </c>
      <c r="E14" s="13" t="s">
        <v>1623</v>
      </c>
      <c r="F14" s="13" t="s">
        <v>1607</v>
      </c>
      <c r="G14" s="27" t="s">
        <v>27</v>
      </c>
      <c r="H14" s="26" t="s">
        <v>28</v>
      </c>
      <c r="I14" s="26" t="s">
        <v>28</v>
      </c>
      <c r="J14" s="14"/>
      <c r="K14" s="32" t="str">
        <f>"235,0"</f>
        <v>235,0</v>
      </c>
      <c r="L14" s="14" t="str">
        <f>"144,6895"</f>
        <v>144,6895</v>
      </c>
      <c r="M14" s="13" t="s">
        <v>264</v>
      </c>
    </row>
    <row r="15" spans="1:13">
      <c r="B15" s="5" t="s">
        <v>166</v>
      </c>
    </row>
    <row r="16" spans="1:13" ht="16">
      <c r="A16" s="48" t="s">
        <v>70</v>
      </c>
      <c r="B16" s="48"/>
      <c r="C16" s="48"/>
      <c r="D16" s="48"/>
      <c r="E16" s="48"/>
      <c r="F16" s="48"/>
      <c r="G16" s="48"/>
      <c r="H16" s="48"/>
      <c r="I16" s="48"/>
      <c r="J16" s="48"/>
    </row>
    <row r="17" spans="1:13">
      <c r="A17" s="10" t="s">
        <v>165</v>
      </c>
      <c r="B17" s="9" t="s">
        <v>558</v>
      </c>
      <c r="C17" s="9" t="s">
        <v>559</v>
      </c>
      <c r="D17" s="9" t="s">
        <v>560</v>
      </c>
      <c r="E17" s="9" t="s">
        <v>1623</v>
      </c>
      <c r="F17" s="9" t="s">
        <v>1581</v>
      </c>
      <c r="G17" s="22" t="s">
        <v>68</v>
      </c>
      <c r="H17" s="22" t="s">
        <v>36</v>
      </c>
      <c r="I17" s="23" t="s">
        <v>47</v>
      </c>
      <c r="J17" s="10"/>
      <c r="K17" s="31" t="str">
        <f>"290,0"</f>
        <v>290,0</v>
      </c>
      <c r="L17" s="10" t="str">
        <f>"170,2735"</f>
        <v>170,2735</v>
      </c>
      <c r="M17" s="9" t="s">
        <v>264</v>
      </c>
    </row>
    <row r="18" spans="1:13">
      <c r="A18" s="12" t="s">
        <v>167</v>
      </c>
      <c r="B18" s="11" t="s">
        <v>561</v>
      </c>
      <c r="C18" s="11" t="s">
        <v>562</v>
      </c>
      <c r="D18" s="11" t="s">
        <v>563</v>
      </c>
      <c r="E18" s="11" t="s">
        <v>1623</v>
      </c>
      <c r="F18" s="11" t="s">
        <v>1582</v>
      </c>
      <c r="G18" s="25" t="s">
        <v>40</v>
      </c>
      <c r="H18" s="25" t="s">
        <v>68</v>
      </c>
      <c r="I18" s="24" t="s">
        <v>36</v>
      </c>
      <c r="J18" s="12"/>
      <c r="K18" s="34" t="str">
        <f>"280,0"</f>
        <v>280,0</v>
      </c>
      <c r="L18" s="12" t="str">
        <f>"169,9040"</f>
        <v>169,9040</v>
      </c>
      <c r="M18" s="11" t="s">
        <v>264</v>
      </c>
    </row>
    <row r="19" spans="1:13">
      <c r="A19" s="12" t="s">
        <v>169</v>
      </c>
      <c r="B19" s="11" t="s">
        <v>564</v>
      </c>
      <c r="C19" s="11" t="s">
        <v>565</v>
      </c>
      <c r="D19" s="11" t="s">
        <v>566</v>
      </c>
      <c r="E19" s="11" t="s">
        <v>1623</v>
      </c>
      <c r="F19" s="11" t="s">
        <v>1565</v>
      </c>
      <c r="G19" s="24" t="s">
        <v>30</v>
      </c>
      <c r="H19" s="24" t="s">
        <v>121</v>
      </c>
      <c r="I19" s="24" t="s">
        <v>121</v>
      </c>
      <c r="J19" s="12"/>
      <c r="K19" s="34">
        <v>0</v>
      </c>
      <c r="L19" s="12" t="str">
        <f>"0,0000"</f>
        <v>0,0000</v>
      </c>
      <c r="M19" s="11" t="s">
        <v>264</v>
      </c>
    </row>
    <row r="20" spans="1:13">
      <c r="A20" s="14" t="s">
        <v>169</v>
      </c>
      <c r="B20" s="13" t="s">
        <v>567</v>
      </c>
      <c r="C20" s="13" t="s">
        <v>568</v>
      </c>
      <c r="D20" s="13" t="s">
        <v>569</v>
      </c>
      <c r="E20" s="13" t="s">
        <v>1623</v>
      </c>
      <c r="F20" s="13" t="s">
        <v>1583</v>
      </c>
      <c r="G20" s="26" t="s">
        <v>56</v>
      </c>
      <c r="H20" s="26" t="s">
        <v>198</v>
      </c>
      <c r="I20" s="26" t="s">
        <v>198</v>
      </c>
      <c r="J20" s="14"/>
      <c r="K20" s="32">
        <v>0</v>
      </c>
      <c r="L20" s="14" t="str">
        <f>"0,0000"</f>
        <v>0,0000</v>
      </c>
      <c r="M20" s="13" t="s">
        <v>264</v>
      </c>
    </row>
    <row r="21" spans="1:13">
      <c r="B21" s="5" t="s">
        <v>166</v>
      </c>
    </row>
    <row r="22" spans="1:13" ht="16">
      <c r="A22" s="48" t="s">
        <v>99</v>
      </c>
      <c r="B22" s="48"/>
      <c r="C22" s="48"/>
      <c r="D22" s="48"/>
      <c r="E22" s="48"/>
      <c r="F22" s="48"/>
      <c r="G22" s="48"/>
      <c r="H22" s="48"/>
      <c r="I22" s="48"/>
      <c r="J22" s="48"/>
    </row>
    <row r="23" spans="1:13">
      <c r="A23" s="10" t="s">
        <v>165</v>
      </c>
      <c r="B23" s="9" t="s">
        <v>570</v>
      </c>
      <c r="C23" s="9" t="s">
        <v>571</v>
      </c>
      <c r="D23" s="9" t="s">
        <v>572</v>
      </c>
      <c r="E23" s="9" t="s">
        <v>1623</v>
      </c>
      <c r="F23" s="9" t="s">
        <v>1508</v>
      </c>
      <c r="G23" s="22" t="s">
        <v>41</v>
      </c>
      <c r="H23" s="23" t="s">
        <v>81</v>
      </c>
      <c r="I23" s="23" t="s">
        <v>122</v>
      </c>
      <c r="J23" s="10"/>
      <c r="K23" s="31" t="str">
        <f>"300,0"</f>
        <v>300,0</v>
      </c>
      <c r="L23" s="10" t="str">
        <f>"172,2000"</f>
        <v>172,2000</v>
      </c>
      <c r="M23" s="9" t="s">
        <v>264</v>
      </c>
    </row>
    <row r="24" spans="1:13">
      <c r="A24" s="14" t="s">
        <v>165</v>
      </c>
      <c r="B24" s="13" t="s">
        <v>573</v>
      </c>
      <c r="C24" s="13" t="s">
        <v>574</v>
      </c>
      <c r="D24" s="13" t="s">
        <v>575</v>
      </c>
      <c r="E24" s="13" t="s">
        <v>1624</v>
      </c>
      <c r="F24" s="13" t="s">
        <v>1582</v>
      </c>
      <c r="G24" s="27" t="s">
        <v>31</v>
      </c>
      <c r="H24" s="26" t="s">
        <v>32</v>
      </c>
      <c r="I24" s="27" t="s">
        <v>36</v>
      </c>
      <c r="J24" s="14"/>
      <c r="K24" s="32" t="str">
        <f>"290,0"</f>
        <v>290,0</v>
      </c>
      <c r="L24" s="14" t="str">
        <f>"172,8158"</f>
        <v>172,8158</v>
      </c>
      <c r="M24" s="13" t="s">
        <v>264</v>
      </c>
    </row>
    <row r="25" spans="1:13">
      <c r="B25" s="5" t="s">
        <v>166</v>
      </c>
    </row>
    <row r="26" spans="1:13" ht="16">
      <c r="A26" s="48" t="s">
        <v>109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13">
      <c r="A27" s="10" t="s">
        <v>165</v>
      </c>
      <c r="B27" s="9" t="s">
        <v>576</v>
      </c>
      <c r="C27" s="9" t="s">
        <v>449</v>
      </c>
      <c r="D27" s="9" t="s">
        <v>577</v>
      </c>
      <c r="E27" s="9" t="s">
        <v>1623</v>
      </c>
      <c r="F27" s="9" t="s">
        <v>1571</v>
      </c>
      <c r="G27" s="22" t="s">
        <v>81</v>
      </c>
      <c r="H27" s="22" t="s">
        <v>83</v>
      </c>
      <c r="I27" s="23" t="s">
        <v>122</v>
      </c>
      <c r="J27" s="10"/>
      <c r="K27" s="31" t="str">
        <f>"330,0"</f>
        <v>330,0</v>
      </c>
      <c r="L27" s="10" t="str">
        <f>"182,1600"</f>
        <v>182,1600</v>
      </c>
      <c r="M27" s="9" t="s">
        <v>578</v>
      </c>
    </row>
    <row r="28" spans="1:13">
      <c r="A28" s="14" t="s">
        <v>165</v>
      </c>
      <c r="B28" s="13" t="s">
        <v>579</v>
      </c>
      <c r="C28" s="13" t="s">
        <v>580</v>
      </c>
      <c r="D28" s="13" t="s">
        <v>581</v>
      </c>
      <c r="E28" s="13" t="s">
        <v>1628</v>
      </c>
      <c r="F28" s="13" t="s">
        <v>1611</v>
      </c>
      <c r="G28" s="26" t="s">
        <v>179</v>
      </c>
      <c r="H28" s="27" t="s">
        <v>179</v>
      </c>
      <c r="I28" s="27" t="s">
        <v>181</v>
      </c>
      <c r="J28" s="14"/>
      <c r="K28" s="32" t="str">
        <f>"90,0"</f>
        <v>90,0</v>
      </c>
      <c r="L28" s="14" t="str">
        <f>"99,0285"</f>
        <v>99,0285</v>
      </c>
      <c r="M28" s="13" t="s">
        <v>264</v>
      </c>
    </row>
    <row r="29" spans="1:13">
      <c r="B29" s="5" t="s">
        <v>166</v>
      </c>
    </row>
    <row r="31" spans="1:13">
      <c r="B31" s="5" t="s">
        <v>166</v>
      </c>
    </row>
    <row r="32" spans="1:13" ht="18">
      <c r="B32" s="15" t="s">
        <v>141</v>
      </c>
      <c r="C32" s="15"/>
    </row>
    <row r="33" spans="2:6" ht="16">
      <c r="B33" s="16" t="s">
        <v>150</v>
      </c>
      <c r="C33" s="16"/>
    </row>
    <row r="34" spans="2:6" ht="14">
      <c r="B34" s="17"/>
      <c r="C34" s="18" t="s">
        <v>143</v>
      </c>
    </row>
    <row r="35" spans="2:6" ht="14">
      <c r="B35" s="19" t="s">
        <v>144</v>
      </c>
      <c r="C35" s="19" t="s">
        <v>145</v>
      </c>
      <c r="D35" s="19" t="s">
        <v>1430</v>
      </c>
      <c r="E35" s="19" t="s">
        <v>582</v>
      </c>
      <c r="F35" s="19" t="s">
        <v>583</v>
      </c>
    </row>
    <row r="36" spans="2:6">
      <c r="B36" s="5" t="s">
        <v>576</v>
      </c>
      <c r="C36" s="5" t="s">
        <v>143</v>
      </c>
      <c r="D36" s="6" t="s">
        <v>155</v>
      </c>
      <c r="E36" s="6" t="s">
        <v>83</v>
      </c>
      <c r="F36" s="6" t="s">
        <v>584</v>
      </c>
    </row>
    <row r="37" spans="2:6">
      <c r="B37" s="5" t="s">
        <v>570</v>
      </c>
      <c r="C37" s="5" t="s">
        <v>143</v>
      </c>
      <c r="D37" s="6" t="s">
        <v>152</v>
      </c>
      <c r="E37" s="6" t="s">
        <v>41</v>
      </c>
      <c r="F37" s="6" t="s">
        <v>585</v>
      </c>
    </row>
    <row r="38" spans="2:6">
      <c r="B38" s="5" t="s">
        <v>558</v>
      </c>
      <c r="C38" s="5" t="s">
        <v>143</v>
      </c>
      <c r="D38" s="6" t="s">
        <v>163</v>
      </c>
      <c r="E38" s="6" t="s">
        <v>36</v>
      </c>
      <c r="F38" s="6" t="s">
        <v>586</v>
      </c>
    </row>
  </sheetData>
  <mergeCells count="17">
    <mergeCell ref="A26:J26"/>
    <mergeCell ref="A5:J5"/>
    <mergeCell ref="A9:J9"/>
    <mergeCell ref="A12:J12"/>
    <mergeCell ref="A16:J16"/>
    <mergeCell ref="A22:J22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6"/>
  <sheetViews>
    <sheetView workbookViewId="0">
      <selection activeCell="E15" sqref="E15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35" t="s">
        <v>1482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1488</v>
      </c>
      <c r="B3" s="55" t="s">
        <v>0</v>
      </c>
      <c r="C3" s="45" t="s">
        <v>1620</v>
      </c>
      <c r="D3" s="45" t="s">
        <v>5</v>
      </c>
      <c r="E3" s="47" t="s">
        <v>1621</v>
      </c>
      <c r="F3" s="47" t="s">
        <v>6</v>
      </c>
      <c r="G3" s="47" t="s">
        <v>8</v>
      </c>
      <c r="H3" s="47"/>
      <c r="I3" s="47"/>
      <c r="J3" s="47"/>
      <c r="K3" s="47" t="s">
        <v>587</v>
      </c>
      <c r="L3" s="47" t="s">
        <v>3</v>
      </c>
      <c r="M3" s="51" t="s">
        <v>2</v>
      </c>
    </row>
    <row r="4" spans="1:13" s="1" customFormat="1" ht="21" customHeight="1" thickBot="1">
      <c r="A4" s="44"/>
      <c r="B4" s="56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46"/>
      <c r="L4" s="46"/>
      <c r="M4" s="52"/>
    </row>
    <row r="5" spans="1:13" ht="16">
      <c r="A5" s="53" t="s">
        <v>70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165</v>
      </c>
      <c r="B6" s="7" t="s">
        <v>1072</v>
      </c>
      <c r="C6" s="7" t="s">
        <v>1073</v>
      </c>
      <c r="D6" s="7" t="s">
        <v>1074</v>
      </c>
      <c r="E6" s="7" t="s">
        <v>1623</v>
      </c>
      <c r="F6" s="7" t="s">
        <v>1584</v>
      </c>
      <c r="G6" s="20" t="s">
        <v>40</v>
      </c>
      <c r="H6" s="21" t="s">
        <v>40</v>
      </c>
      <c r="I6" s="20" t="s">
        <v>83</v>
      </c>
      <c r="J6" s="8"/>
      <c r="K6" s="8" t="str">
        <f>"270,0"</f>
        <v>270,0</v>
      </c>
      <c r="L6" s="8" t="str">
        <f>"158,3145"</f>
        <v>158,3145</v>
      </c>
      <c r="M6" s="7" t="s">
        <v>264</v>
      </c>
    </row>
    <row r="7" spans="1:13">
      <c r="B7" s="5" t="s">
        <v>166</v>
      </c>
    </row>
    <row r="8" spans="1:13" ht="16">
      <c r="A8" s="48" t="s">
        <v>99</v>
      </c>
      <c r="B8" s="48"/>
      <c r="C8" s="48"/>
      <c r="D8" s="48"/>
      <c r="E8" s="48"/>
      <c r="F8" s="48"/>
      <c r="G8" s="48"/>
      <c r="H8" s="48"/>
      <c r="I8" s="48"/>
      <c r="J8" s="48"/>
    </row>
    <row r="9" spans="1:13">
      <c r="A9" s="8" t="s">
        <v>165</v>
      </c>
      <c r="B9" s="7" t="s">
        <v>1075</v>
      </c>
      <c r="C9" s="7" t="s">
        <v>1076</v>
      </c>
      <c r="D9" s="7" t="s">
        <v>658</v>
      </c>
      <c r="E9" s="7" t="s">
        <v>1623</v>
      </c>
      <c r="F9" s="7" t="s">
        <v>1498</v>
      </c>
      <c r="G9" s="21" t="s">
        <v>107</v>
      </c>
      <c r="H9" s="20" t="s">
        <v>326</v>
      </c>
      <c r="I9" s="20" t="s">
        <v>326</v>
      </c>
      <c r="J9" s="8"/>
      <c r="K9" s="8" t="str">
        <f>"370,0"</f>
        <v>370,0</v>
      </c>
      <c r="L9" s="8" t="str">
        <f>"209,1610"</f>
        <v>209,1610</v>
      </c>
      <c r="M9" s="7" t="s">
        <v>264</v>
      </c>
    </row>
    <row r="10" spans="1:13">
      <c r="B10" s="5" t="s">
        <v>166</v>
      </c>
    </row>
    <row r="11" spans="1:13" ht="16">
      <c r="A11" s="48" t="s">
        <v>109</v>
      </c>
      <c r="B11" s="48"/>
      <c r="C11" s="48"/>
      <c r="D11" s="48"/>
      <c r="E11" s="48"/>
      <c r="F11" s="48"/>
      <c r="G11" s="48"/>
      <c r="H11" s="48"/>
      <c r="I11" s="48"/>
      <c r="J11" s="48"/>
    </row>
    <row r="12" spans="1:13">
      <c r="A12" s="10" t="s">
        <v>165</v>
      </c>
      <c r="B12" s="9" t="s">
        <v>1077</v>
      </c>
      <c r="C12" s="9" t="s">
        <v>1078</v>
      </c>
      <c r="D12" s="9" t="s">
        <v>1079</v>
      </c>
      <c r="E12" s="9" t="s">
        <v>1623</v>
      </c>
      <c r="F12" s="9" t="s">
        <v>1498</v>
      </c>
      <c r="G12" s="22" t="s">
        <v>107</v>
      </c>
      <c r="H12" s="23" t="s">
        <v>1080</v>
      </c>
      <c r="I12" s="23" t="s">
        <v>1080</v>
      </c>
      <c r="J12" s="10"/>
      <c r="K12" s="10" t="str">
        <f>"370,0"</f>
        <v>370,0</v>
      </c>
      <c r="L12" s="10" t="str">
        <f>"205,7570"</f>
        <v>205,7570</v>
      </c>
      <c r="M12" s="9" t="s">
        <v>264</v>
      </c>
    </row>
    <row r="13" spans="1:13">
      <c r="A13" s="12" t="s">
        <v>167</v>
      </c>
      <c r="B13" s="11" t="s">
        <v>1049</v>
      </c>
      <c r="C13" s="11" t="s">
        <v>1050</v>
      </c>
      <c r="D13" s="11" t="s">
        <v>1081</v>
      </c>
      <c r="E13" s="11" t="s">
        <v>1623</v>
      </c>
      <c r="F13" s="11" t="s">
        <v>1610</v>
      </c>
      <c r="G13" s="24" t="s">
        <v>107</v>
      </c>
      <c r="H13" s="25" t="s">
        <v>107</v>
      </c>
      <c r="I13" s="24" t="s">
        <v>1082</v>
      </c>
      <c r="J13" s="12"/>
      <c r="K13" s="12" t="str">
        <f>"370,0"</f>
        <v>370,0</v>
      </c>
      <c r="L13" s="12" t="str">
        <f>"202,2420"</f>
        <v>202,2420</v>
      </c>
      <c r="M13" s="11" t="s">
        <v>1053</v>
      </c>
    </row>
    <row r="14" spans="1:13">
      <c r="A14" s="14" t="s">
        <v>165</v>
      </c>
      <c r="B14" s="13" t="s">
        <v>1049</v>
      </c>
      <c r="C14" s="13" t="s">
        <v>1054</v>
      </c>
      <c r="D14" s="13" t="s">
        <v>1081</v>
      </c>
      <c r="E14" s="13" t="s">
        <v>1627</v>
      </c>
      <c r="F14" s="13" t="s">
        <v>1610</v>
      </c>
      <c r="G14" s="26" t="s">
        <v>107</v>
      </c>
      <c r="H14" s="27" t="s">
        <v>107</v>
      </c>
      <c r="I14" s="26" t="s">
        <v>1082</v>
      </c>
      <c r="J14" s="14"/>
      <c r="K14" s="14" t="str">
        <f>"370,0"</f>
        <v>370,0</v>
      </c>
      <c r="L14" s="14" t="str">
        <f>"228,5335"</f>
        <v>228,5335</v>
      </c>
      <c r="M14" s="13" t="s">
        <v>1053</v>
      </c>
    </row>
    <row r="15" spans="1:13">
      <c r="B15" s="5" t="s">
        <v>166</v>
      </c>
    </row>
    <row r="16" spans="1:13">
      <c r="B16" s="5" t="s">
        <v>166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1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1" width="7.83203125" style="6" bestFit="1" customWidth="1"/>
    <col min="12" max="12" width="8.5" style="6" bestFit="1" customWidth="1"/>
    <col min="13" max="13" width="20.1640625" style="5" customWidth="1"/>
    <col min="14" max="16384" width="9.1640625" style="3"/>
  </cols>
  <sheetData>
    <row r="1" spans="1:13" s="2" customFormat="1" ht="29" customHeight="1">
      <c r="A1" s="35" t="s">
        <v>1483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1488</v>
      </c>
      <c r="B3" s="55" t="s">
        <v>0</v>
      </c>
      <c r="C3" s="45" t="s">
        <v>1620</v>
      </c>
      <c r="D3" s="45" t="s">
        <v>5</v>
      </c>
      <c r="E3" s="47" t="s">
        <v>1621</v>
      </c>
      <c r="F3" s="47" t="s">
        <v>6</v>
      </c>
      <c r="G3" s="47" t="s">
        <v>8</v>
      </c>
      <c r="H3" s="47"/>
      <c r="I3" s="47"/>
      <c r="J3" s="47"/>
      <c r="K3" s="47" t="s">
        <v>587</v>
      </c>
      <c r="L3" s="47" t="s">
        <v>3</v>
      </c>
      <c r="M3" s="51" t="s">
        <v>2</v>
      </c>
    </row>
    <row r="4" spans="1:13" s="1" customFormat="1" ht="21" customHeight="1" thickBot="1">
      <c r="A4" s="44"/>
      <c r="B4" s="56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46"/>
      <c r="L4" s="46"/>
      <c r="M4" s="52"/>
    </row>
    <row r="5" spans="1:13" ht="16">
      <c r="A5" s="53" t="s">
        <v>10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165</v>
      </c>
      <c r="B6" s="7" t="s">
        <v>1062</v>
      </c>
      <c r="C6" s="7" t="s">
        <v>1063</v>
      </c>
      <c r="D6" s="7" t="s">
        <v>463</v>
      </c>
      <c r="E6" s="7" t="s">
        <v>1623</v>
      </c>
      <c r="F6" s="7" t="s">
        <v>1557</v>
      </c>
      <c r="G6" s="20" t="s">
        <v>117</v>
      </c>
      <c r="H6" s="20" t="s">
        <v>117</v>
      </c>
      <c r="I6" s="21" t="s">
        <v>117</v>
      </c>
      <c r="J6" s="8"/>
      <c r="K6" s="8" t="str">
        <f>"342,5"</f>
        <v>342,5</v>
      </c>
      <c r="L6" s="8" t="str">
        <f>"220,7755"</f>
        <v>220,7755</v>
      </c>
      <c r="M6" s="7" t="s">
        <v>264</v>
      </c>
    </row>
    <row r="7" spans="1:13">
      <c r="B7" s="5" t="s">
        <v>166</v>
      </c>
    </row>
    <row r="8" spans="1:13" ht="16">
      <c r="A8" s="48" t="s">
        <v>99</v>
      </c>
      <c r="B8" s="48"/>
      <c r="C8" s="48"/>
      <c r="D8" s="48"/>
      <c r="E8" s="48"/>
      <c r="F8" s="48"/>
      <c r="G8" s="48"/>
      <c r="H8" s="48"/>
      <c r="I8" s="48"/>
      <c r="J8" s="48"/>
    </row>
    <row r="9" spans="1:13">
      <c r="A9" s="10" t="s">
        <v>165</v>
      </c>
      <c r="B9" s="9" t="s">
        <v>1064</v>
      </c>
      <c r="C9" s="9" t="s">
        <v>1065</v>
      </c>
      <c r="D9" s="9" t="s">
        <v>1066</v>
      </c>
      <c r="E9" s="9" t="s">
        <v>1623</v>
      </c>
      <c r="F9" s="9" t="s">
        <v>1490</v>
      </c>
      <c r="G9" s="23" t="s">
        <v>113</v>
      </c>
      <c r="H9" s="22" t="s">
        <v>312</v>
      </c>
      <c r="I9" s="23" t="s">
        <v>107</v>
      </c>
      <c r="J9" s="10"/>
      <c r="K9" s="10" t="str">
        <f>"360,0"</f>
        <v>360,0</v>
      </c>
      <c r="L9" s="10" t="str">
        <f>"206,0640"</f>
        <v>206,0640</v>
      </c>
      <c r="M9" s="9" t="s">
        <v>264</v>
      </c>
    </row>
    <row r="10" spans="1:13">
      <c r="A10" s="14" t="s">
        <v>167</v>
      </c>
      <c r="B10" s="13" t="s">
        <v>1067</v>
      </c>
      <c r="C10" s="13" t="s">
        <v>1068</v>
      </c>
      <c r="D10" s="13" t="s">
        <v>424</v>
      </c>
      <c r="E10" s="13" t="s">
        <v>1623</v>
      </c>
      <c r="F10" s="13" t="s">
        <v>1575</v>
      </c>
      <c r="G10" s="27" t="s">
        <v>81</v>
      </c>
      <c r="H10" s="26" t="s">
        <v>122</v>
      </c>
      <c r="I10" s="27" t="s">
        <v>122</v>
      </c>
      <c r="J10" s="14"/>
      <c r="K10" s="14" t="str">
        <f>"340,0"</f>
        <v>340,0</v>
      </c>
      <c r="L10" s="14" t="str">
        <f>"191,7770"</f>
        <v>191,7770</v>
      </c>
      <c r="M10" s="13" t="s">
        <v>190</v>
      </c>
    </row>
    <row r="11" spans="1:13">
      <c r="B11" s="5" t="s">
        <v>166</v>
      </c>
    </row>
    <row r="12" spans="1:13" ht="16">
      <c r="A12" s="48" t="s">
        <v>109</v>
      </c>
      <c r="B12" s="48"/>
      <c r="C12" s="48"/>
      <c r="D12" s="48"/>
      <c r="E12" s="48"/>
      <c r="F12" s="48"/>
      <c r="G12" s="48"/>
      <c r="H12" s="48"/>
      <c r="I12" s="48"/>
      <c r="J12" s="48"/>
    </row>
    <row r="13" spans="1:13">
      <c r="A13" s="8" t="s">
        <v>165</v>
      </c>
      <c r="B13" s="7" t="s">
        <v>1069</v>
      </c>
      <c r="C13" s="7" t="s">
        <v>1070</v>
      </c>
      <c r="D13" s="7" t="s">
        <v>1071</v>
      </c>
      <c r="E13" s="7" t="s">
        <v>1626</v>
      </c>
      <c r="F13" s="7" t="s">
        <v>1492</v>
      </c>
      <c r="G13" s="21" t="s">
        <v>76</v>
      </c>
      <c r="H13" s="21" t="s">
        <v>116</v>
      </c>
      <c r="I13" s="21" t="s">
        <v>81</v>
      </c>
      <c r="J13" s="8"/>
      <c r="K13" s="8" t="str">
        <f>"320,0"</f>
        <v>320,0</v>
      </c>
      <c r="L13" s="8" t="str">
        <f>"175,7440"</f>
        <v>175,7440</v>
      </c>
      <c r="M13" s="7" t="s">
        <v>264</v>
      </c>
    </row>
    <row r="14" spans="1:13">
      <c r="B14" s="5" t="s">
        <v>166</v>
      </c>
    </row>
    <row r="15" spans="1:13">
      <c r="B15" s="5" t="s">
        <v>166</v>
      </c>
    </row>
  </sheetData>
  <mergeCells count="14">
    <mergeCell ref="A8:J8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opLeftCell="A16" workbookViewId="0">
      <selection activeCell="E44" sqref="E44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7.8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7.33203125" style="5" bestFit="1" customWidth="1"/>
    <col min="14" max="16384" width="9.1640625" style="3"/>
  </cols>
  <sheetData>
    <row r="1" spans="1:13" s="2" customFormat="1" ht="29" customHeight="1">
      <c r="A1" s="35" t="s">
        <v>1484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1488</v>
      </c>
      <c r="B3" s="55" t="s">
        <v>0</v>
      </c>
      <c r="C3" s="45" t="s">
        <v>1620</v>
      </c>
      <c r="D3" s="45" t="s">
        <v>5</v>
      </c>
      <c r="E3" s="47" t="s">
        <v>1621</v>
      </c>
      <c r="F3" s="47" t="s">
        <v>6</v>
      </c>
      <c r="G3" s="47" t="s">
        <v>8</v>
      </c>
      <c r="H3" s="47"/>
      <c r="I3" s="47"/>
      <c r="J3" s="47"/>
      <c r="K3" s="47" t="s">
        <v>587</v>
      </c>
      <c r="L3" s="47" t="s">
        <v>3</v>
      </c>
      <c r="M3" s="51" t="s">
        <v>2</v>
      </c>
    </row>
    <row r="4" spans="1:13" s="1" customFormat="1" ht="21" customHeight="1" thickBot="1">
      <c r="A4" s="44"/>
      <c r="B4" s="56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46"/>
      <c r="L4" s="46"/>
      <c r="M4" s="52"/>
    </row>
    <row r="5" spans="1:13" ht="16">
      <c r="A5" s="53" t="s">
        <v>191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165</v>
      </c>
      <c r="B6" s="7" t="s">
        <v>1385</v>
      </c>
      <c r="C6" s="7" t="s">
        <v>1386</v>
      </c>
      <c r="D6" s="7" t="s">
        <v>1387</v>
      </c>
      <c r="E6" s="7" t="s">
        <v>1629</v>
      </c>
      <c r="F6" s="7" t="s">
        <v>1585</v>
      </c>
      <c r="G6" s="21" t="s">
        <v>178</v>
      </c>
      <c r="H6" s="21" t="s">
        <v>348</v>
      </c>
      <c r="I6" s="20" t="s">
        <v>349</v>
      </c>
      <c r="J6" s="8"/>
      <c r="K6" s="8" t="str">
        <f>"42,5"</f>
        <v>42,5</v>
      </c>
      <c r="L6" s="8" t="str">
        <f>"53,0945"</f>
        <v>53,0945</v>
      </c>
      <c r="M6" s="7" t="s">
        <v>1388</v>
      </c>
    </row>
    <row r="7" spans="1:13">
      <c r="B7" s="5" t="s">
        <v>166</v>
      </c>
    </row>
    <row r="8" spans="1:13" ht="16">
      <c r="A8" s="48" t="s">
        <v>22</v>
      </c>
      <c r="B8" s="48"/>
      <c r="C8" s="48"/>
      <c r="D8" s="48"/>
      <c r="E8" s="48"/>
      <c r="F8" s="48"/>
      <c r="G8" s="48"/>
      <c r="H8" s="48"/>
      <c r="I8" s="48"/>
      <c r="J8" s="48"/>
    </row>
    <row r="9" spans="1:13">
      <c r="A9" s="8" t="s">
        <v>165</v>
      </c>
      <c r="B9" s="7" t="s">
        <v>1389</v>
      </c>
      <c r="C9" s="7" t="s">
        <v>1390</v>
      </c>
      <c r="D9" s="7" t="s">
        <v>1391</v>
      </c>
      <c r="E9" s="7" t="s">
        <v>1627</v>
      </c>
      <c r="F9" s="7" t="s">
        <v>1585</v>
      </c>
      <c r="G9" s="21" t="s">
        <v>188</v>
      </c>
      <c r="H9" s="21" t="s">
        <v>386</v>
      </c>
      <c r="I9" s="21" t="s">
        <v>396</v>
      </c>
      <c r="J9" s="8"/>
      <c r="K9" s="8" t="str">
        <f>"62,5"</f>
        <v>62,5</v>
      </c>
      <c r="L9" s="8" t="str">
        <f>"69,0868"</f>
        <v>69,0868</v>
      </c>
      <c r="M9" s="7" t="s">
        <v>1392</v>
      </c>
    </row>
    <row r="10" spans="1:13">
      <c r="B10" s="5" t="s">
        <v>166</v>
      </c>
    </row>
    <row r="11" spans="1:13" ht="16">
      <c r="A11" s="48" t="s">
        <v>10</v>
      </c>
      <c r="B11" s="48"/>
      <c r="C11" s="48"/>
      <c r="D11" s="48"/>
      <c r="E11" s="48"/>
      <c r="F11" s="48"/>
      <c r="G11" s="48"/>
      <c r="H11" s="48"/>
      <c r="I11" s="48"/>
      <c r="J11" s="48"/>
    </row>
    <row r="12" spans="1:13">
      <c r="A12" s="8" t="s">
        <v>165</v>
      </c>
      <c r="B12" s="7" t="s">
        <v>1393</v>
      </c>
      <c r="C12" s="7" t="s">
        <v>1394</v>
      </c>
      <c r="D12" s="7" t="s">
        <v>279</v>
      </c>
      <c r="E12" s="7" t="s">
        <v>1628</v>
      </c>
      <c r="F12" s="7" t="s">
        <v>1586</v>
      </c>
      <c r="G12" s="21" t="s">
        <v>1275</v>
      </c>
      <c r="H12" s="21" t="s">
        <v>178</v>
      </c>
      <c r="I12" s="21" t="s">
        <v>366</v>
      </c>
      <c r="J12" s="8"/>
      <c r="K12" s="8" t="str">
        <f>"50,0"</f>
        <v>50,0</v>
      </c>
      <c r="L12" s="8" t="str">
        <f>"70,5605"</f>
        <v>70,5605</v>
      </c>
      <c r="M12" s="7" t="s">
        <v>1392</v>
      </c>
    </row>
    <row r="13" spans="1:13">
      <c r="B13" s="5" t="s">
        <v>166</v>
      </c>
    </row>
    <row r="14" spans="1:13" ht="16">
      <c r="A14" s="48" t="s">
        <v>421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3">
      <c r="A15" s="8" t="s">
        <v>165</v>
      </c>
      <c r="B15" s="7" t="s">
        <v>1395</v>
      </c>
      <c r="C15" s="7" t="s">
        <v>1396</v>
      </c>
      <c r="D15" s="7" t="s">
        <v>1397</v>
      </c>
      <c r="E15" s="7" t="s">
        <v>1629</v>
      </c>
      <c r="F15" s="7" t="s">
        <v>1585</v>
      </c>
      <c r="G15" s="21" t="s">
        <v>179</v>
      </c>
      <c r="H15" s="21" t="s">
        <v>252</v>
      </c>
      <c r="I15" s="20" t="s">
        <v>180</v>
      </c>
      <c r="J15" s="8"/>
      <c r="K15" s="8" t="str">
        <f>"85,0"</f>
        <v>85,0</v>
      </c>
      <c r="L15" s="8" t="str">
        <f>"88,1644"</f>
        <v>88,1644</v>
      </c>
      <c r="M15" s="7" t="s">
        <v>1388</v>
      </c>
    </row>
    <row r="16" spans="1:13">
      <c r="B16" s="5" t="s">
        <v>166</v>
      </c>
    </row>
    <row r="17" spans="1:13" ht="16">
      <c r="A17" s="48" t="s">
        <v>356</v>
      </c>
      <c r="B17" s="48"/>
      <c r="C17" s="48"/>
      <c r="D17" s="48"/>
      <c r="E17" s="48"/>
      <c r="F17" s="48"/>
      <c r="G17" s="48"/>
      <c r="H17" s="48"/>
      <c r="I17" s="48"/>
      <c r="J17" s="48"/>
    </row>
    <row r="18" spans="1:13">
      <c r="A18" s="8" t="s">
        <v>165</v>
      </c>
      <c r="B18" s="7" t="s">
        <v>1398</v>
      </c>
      <c r="C18" s="7" t="s">
        <v>1441</v>
      </c>
      <c r="D18" s="7" t="s">
        <v>428</v>
      </c>
      <c r="E18" s="7" t="s">
        <v>1626</v>
      </c>
      <c r="F18" s="7" t="s">
        <v>1587</v>
      </c>
      <c r="G18" s="21" t="s">
        <v>716</v>
      </c>
      <c r="H18" s="21" t="s">
        <v>188</v>
      </c>
      <c r="I18" s="21" t="s">
        <v>386</v>
      </c>
      <c r="J18" s="8"/>
      <c r="K18" s="8" t="str">
        <f>"57,5"</f>
        <v>57,5</v>
      </c>
      <c r="L18" s="8" t="str">
        <f>"56,1660"</f>
        <v>56,1660</v>
      </c>
      <c r="M18" s="7" t="s">
        <v>1466</v>
      </c>
    </row>
    <row r="19" spans="1:13">
      <c r="B19" s="5" t="s">
        <v>166</v>
      </c>
    </row>
    <row r="20" spans="1:13" ht="16">
      <c r="A20" s="48" t="s">
        <v>171</v>
      </c>
      <c r="B20" s="48"/>
      <c r="C20" s="48"/>
      <c r="D20" s="48"/>
      <c r="E20" s="48"/>
      <c r="F20" s="48"/>
      <c r="G20" s="48"/>
      <c r="H20" s="48"/>
      <c r="I20" s="48"/>
      <c r="J20" s="48"/>
    </row>
    <row r="21" spans="1:13">
      <c r="A21" s="8" t="s">
        <v>165</v>
      </c>
      <c r="B21" s="7" t="s">
        <v>1399</v>
      </c>
      <c r="C21" s="7" t="s">
        <v>553</v>
      </c>
      <c r="D21" s="7" t="s">
        <v>1279</v>
      </c>
      <c r="E21" s="7" t="s">
        <v>1623</v>
      </c>
      <c r="F21" s="7" t="s">
        <v>1588</v>
      </c>
      <c r="G21" s="21" t="s">
        <v>16</v>
      </c>
      <c r="H21" s="21" t="s">
        <v>432</v>
      </c>
      <c r="I21" s="20" t="s">
        <v>17</v>
      </c>
      <c r="J21" s="8"/>
      <c r="K21" s="8" t="str">
        <f>"67,5"</f>
        <v>67,5</v>
      </c>
      <c r="L21" s="8" t="str">
        <f>"63,8820"</f>
        <v>63,8820</v>
      </c>
      <c r="M21" s="7" t="s">
        <v>1388</v>
      </c>
    </row>
    <row r="22" spans="1:13">
      <c r="B22" s="5" t="s">
        <v>166</v>
      </c>
    </row>
    <row r="23" spans="1:13" ht="16">
      <c r="A23" s="48" t="s">
        <v>191</v>
      </c>
      <c r="B23" s="48"/>
      <c r="C23" s="48"/>
      <c r="D23" s="48"/>
      <c r="E23" s="48"/>
      <c r="F23" s="48"/>
      <c r="G23" s="48"/>
      <c r="H23" s="48"/>
      <c r="I23" s="48"/>
      <c r="J23" s="48"/>
    </row>
    <row r="24" spans="1:13">
      <c r="A24" s="8" t="s">
        <v>165</v>
      </c>
      <c r="B24" s="7" t="s">
        <v>1400</v>
      </c>
      <c r="C24" s="7" t="s">
        <v>1401</v>
      </c>
      <c r="D24" s="7" t="s">
        <v>1091</v>
      </c>
      <c r="E24" s="7" t="s">
        <v>1629</v>
      </c>
      <c r="F24" s="7" t="s">
        <v>1586</v>
      </c>
      <c r="G24" s="21" t="s">
        <v>347</v>
      </c>
      <c r="H24" s="21" t="s">
        <v>220</v>
      </c>
      <c r="I24" s="21" t="s">
        <v>229</v>
      </c>
      <c r="J24" s="8"/>
      <c r="K24" s="8" t="str">
        <f>"105,0"</f>
        <v>105,0</v>
      </c>
      <c r="L24" s="8" t="str">
        <f>"109,8586"</f>
        <v>109,8586</v>
      </c>
      <c r="M24" s="7" t="s">
        <v>1388</v>
      </c>
    </row>
    <row r="25" spans="1:13">
      <c r="B25" s="5" t="s">
        <v>166</v>
      </c>
    </row>
    <row r="26" spans="1:13" ht="16">
      <c r="A26" s="48" t="s">
        <v>22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13">
      <c r="A27" s="8" t="s">
        <v>165</v>
      </c>
      <c r="B27" s="7" t="s">
        <v>1402</v>
      </c>
      <c r="C27" s="7" t="s">
        <v>1403</v>
      </c>
      <c r="D27" s="7" t="s">
        <v>1162</v>
      </c>
      <c r="E27" s="7" t="s">
        <v>1624</v>
      </c>
      <c r="F27" s="7" t="s">
        <v>1586</v>
      </c>
      <c r="G27" s="21" t="s">
        <v>17</v>
      </c>
      <c r="H27" s="21" t="s">
        <v>18</v>
      </c>
      <c r="I27" s="21" t="s">
        <v>179</v>
      </c>
      <c r="J27" s="8"/>
      <c r="K27" s="8" t="str">
        <f>"80,0"</f>
        <v>80,0</v>
      </c>
      <c r="L27" s="8" t="str">
        <f>"58,7275"</f>
        <v>58,7275</v>
      </c>
      <c r="M27" s="7" t="s">
        <v>1392</v>
      </c>
    </row>
    <row r="28" spans="1:13">
      <c r="B28" s="5" t="s">
        <v>166</v>
      </c>
    </row>
    <row r="29" spans="1:13" ht="16">
      <c r="A29" s="48" t="s">
        <v>10</v>
      </c>
      <c r="B29" s="48"/>
      <c r="C29" s="48"/>
      <c r="D29" s="48"/>
      <c r="E29" s="48"/>
      <c r="F29" s="48"/>
      <c r="G29" s="48"/>
      <c r="H29" s="48"/>
      <c r="I29" s="48"/>
      <c r="J29" s="48"/>
    </row>
    <row r="30" spans="1:13">
      <c r="A30" s="10" t="s">
        <v>165</v>
      </c>
      <c r="B30" s="9" t="s">
        <v>1404</v>
      </c>
      <c r="C30" s="9" t="s">
        <v>1405</v>
      </c>
      <c r="D30" s="9" t="s">
        <v>472</v>
      </c>
      <c r="E30" s="9" t="s">
        <v>1629</v>
      </c>
      <c r="F30" s="9" t="s">
        <v>1586</v>
      </c>
      <c r="G30" s="23" t="s">
        <v>346</v>
      </c>
      <c r="H30" s="22" t="s">
        <v>346</v>
      </c>
      <c r="I30" s="23" t="s">
        <v>347</v>
      </c>
      <c r="J30" s="10"/>
      <c r="K30" s="10" t="str">
        <f>"92,5"</f>
        <v>92,5</v>
      </c>
      <c r="L30" s="10" t="str">
        <f>"90,5973"</f>
        <v>90,5973</v>
      </c>
      <c r="M30" s="9" t="s">
        <v>1388</v>
      </c>
    </row>
    <row r="31" spans="1:13">
      <c r="A31" s="14" t="s">
        <v>165</v>
      </c>
      <c r="B31" s="13" t="s">
        <v>1406</v>
      </c>
      <c r="C31" s="13" t="s">
        <v>1407</v>
      </c>
      <c r="D31" s="13" t="s">
        <v>1408</v>
      </c>
      <c r="E31" s="13" t="s">
        <v>1631</v>
      </c>
      <c r="F31" s="13" t="s">
        <v>1586</v>
      </c>
      <c r="G31" s="27" t="s">
        <v>711</v>
      </c>
      <c r="H31" s="27" t="s">
        <v>1275</v>
      </c>
      <c r="I31" s="26" t="s">
        <v>361</v>
      </c>
      <c r="J31" s="14"/>
      <c r="K31" s="14" t="str">
        <f>"30,0"</f>
        <v>30,0</v>
      </c>
      <c r="L31" s="14" t="str">
        <f>"40,9098"</f>
        <v>40,9098</v>
      </c>
      <c r="M31" s="13" t="s">
        <v>1392</v>
      </c>
    </row>
    <row r="32" spans="1:13">
      <c r="B32" s="5" t="s">
        <v>166</v>
      </c>
    </row>
    <row r="33" spans="1:13" ht="16">
      <c r="A33" s="48" t="s">
        <v>64</v>
      </c>
      <c r="B33" s="48"/>
      <c r="C33" s="48"/>
      <c r="D33" s="48"/>
      <c r="E33" s="48"/>
      <c r="F33" s="48"/>
      <c r="G33" s="48"/>
      <c r="H33" s="48"/>
      <c r="I33" s="48"/>
      <c r="J33" s="48"/>
    </row>
    <row r="34" spans="1:13">
      <c r="A34" s="8" t="s">
        <v>165</v>
      </c>
      <c r="B34" s="7" t="s">
        <v>1409</v>
      </c>
      <c r="C34" s="7" t="s">
        <v>1410</v>
      </c>
      <c r="D34" s="7" t="s">
        <v>489</v>
      </c>
      <c r="E34" s="7" t="s">
        <v>1624</v>
      </c>
      <c r="F34" s="7" t="s">
        <v>1490</v>
      </c>
      <c r="G34" s="21" t="s">
        <v>259</v>
      </c>
      <c r="H34" s="20" t="s">
        <v>186</v>
      </c>
      <c r="I34" s="20" t="s">
        <v>186</v>
      </c>
      <c r="J34" s="8"/>
      <c r="K34" s="8" t="str">
        <f>"102,5"</f>
        <v>102,5</v>
      </c>
      <c r="L34" s="8" t="str">
        <f>"64,0250"</f>
        <v>64,0250</v>
      </c>
      <c r="M34" s="7" t="s">
        <v>264</v>
      </c>
    </row>
    <row r="35" spans="1:13">
      <c r="B35" s="5" t="s">
        <v>166</v>
      </c>
    </row>
    <row r="36" spans="1:13" ht="16">
      <c r="A36" s="48" t="s">
        <v>70</v>
      </c>
      <c r="B36" s="48"/>
      <c r="C36" s="48"/>
      <c r="D36" s="48"/>
      <c r="E36" s="48"/>
      <c r="F36" s="48"/>
      <c r="G36" s="48"/>
      <c r="H36" s="48"/>
      <c r="I36" s="48"/>
      <c r="J36" s="48"/>
    </row>
    <row r="37" spans="1:13">
      <c r="A37" s="10" t="s">
        <v>165</v>
      </c>
      <c r="B37" s="9" t="s">
        <v>1411</v>
      </c>
      <c r="C37" s="9" t="s">
        <v>1412</v>
      </c>
      <c r="D37" s="9" t="s">
        <v>959</v>
      </c>
      <c r="E37" s="9" t="s">
        <v>1623</v>
      </c>
      <c r="F37" s="9" t="s">
        <v>1588</v>
      </c>
      <c r="G37" s="22" t="s">
        <v>62</v>
      </c>
      <c r="H37" s="22" t="s">
        <v>187</v>
      </c>
      <c r="I37" s="23" t="s">
        <v>97</v>
      </c>
      <c r="J37" s="10"/>
      <c r="K37" s="10" t="str">
        <f>"125,0"</f>
        <v>125,0</v>
      </c>
      <c r="L37" s="10" t="str">
        <f>"74,8750"</f>
        <v>74,8750</v>
      </c>
      <c r="M37" s="9" t="s">
        <v>1388</v>
      </c>
    </row>
    <row r="38" spans="1:13">
      <c r="A38" s="12" t="s">
        <v>165</v>
      </c>
      <c r="B38" s="11" t="s">
        <v>1413</v>
      </c>
      <c r="C38" s="11" t="s">
        <v>1414</v>
      </c>
      <c r="D38" s="11" t="s">
        <v>1415</v>
      </c>
      <c r="E38" s="11" t="s">
        <v>1627</v>
      </c>
      <c r="F38" s="11" t="s">
        <v>1586</v>
      </c>
      <c r="G38" s="25" t="s">
        <v>98</v>
      </c>
      <c r="H38" s="25" t="s">
        <v>54</v>
      </c>
      <c r="I38" s="25" t="s">
        <v>14</v>
      </c>
      <c r="J38" s="12"/>
      <c r="K38" s="12" t="str">
        <f>"150,0"</f>
        <v>150,0</v>
      </c>
      <c r="L38" s="12" t="str">
        <f>"100,7095"</f>
        <v>100,7095</v>
      </c>
      <c r="M38" s="11" t="s">
        <v>264</v>
      </c>
    </row>
    <row r="39" spans="1:13">
      <c r="A39" s="12" t="s">
        <v>165</v>
      </c>
      <c r="B39" s="11" t="s">
        <v>1416</v>
      </c>
      <c r="C39" s="11" t="s">
        <v>1417</v>
      </c>
      <c r="D39" s="11" t="s">
        <v>1418</v>
      </c>
      <c r="E39" s="11" t="s">
        <v>1629</v>
      </c>
      <c r="F39" s="11" t="s">
        <v>1589</v>
      </c>
      <c r="G39" s="25" t="s">
        <v>367</v>
      </c>
      <c r="H39" s="24" t="s">
        <v>62</v>
      </c>
      <c r="I39" s="24" t="s">
        <v>62</v>
      </c>
      <c r="J39" s="12"/>
      <c r="K39" s="12" t="str">
        <f>"115,0"</f>
        <v>115,0</v>
      </c>
      <c r="L39" s="12" t="str">
        <f>"104,3820"</f>
        <v>104,3820</v>
      </c>
      <c r="M39" s="11" t="s">
        <v>1388</v>
      </c>
    </row>
    <row r="40" spans="1:13">
      <c r="A40" s="14" t="s">
        <v>165</v>
      </c>
      <c r="B40" s="13" t="s">
        <v>1419</v>
      </c>
      <c r="C40" s="13" t="s">
        <v>1420</v>
      </c>
      <c r="D40" s="13" t="s">
        <v>1421</v>
      </c>
      <c r="E40" s="13" t="s">
        <v>1628</v>
      </c>
      <c r="F40" s="13" t="s">
        <v>1586</v>
      </c>
      <c r="G40" s="27" t="s">
        <v>16</v>
      </c>
      <c r="H40" s="27" t="s">
        <v>17</v>
      </c>
      <c r="I40" s="27" t="s">
        <v>18</v>
      </c>
      <c r="J40" s="14"/>
      <c r="K40" s="14" t="str">
        <f>"75,0"</f>
        <v>75,0</v>
      </c>
      <c r="L40" s="14" t="str">
        <f>"83,0411"</f>
        <v>83,0411</v>
      </c>
      <c r="M40" s="13" t="s">
        <v>1392</v>
      </c>
    </row>
    <row r="41" spans="1:13">
      <c r="B41" s="5" t="s">
        <v>166</v>
      </c>
    </row>
    <row r="42" spans="1:13" ht="16">
      <c r="A42" s="48" t="s">
        <v>99</v>
      </c>
      <c r="B42" s="48"/>
      <c r="C42" s="48"/>
      <c r="D42" s="48"/>
      <c r="E42" s="48"/>
      <c r="F42" s="48"/>
      <c r="G42" s="48"/>
      <c r="H42" s="48"/>
      <c r="I42" s="48"/>
      <c r="J42" s="48"/>
    </row>
    <row r="43" spans="1:13">
      <c r="A43" s="8" t="s">
        <v>165</v>
      </c>
      <c r="B43" s="7" t="s">
        <v>1422</v>
      </c>
      <c r="C43" s="7" t="s">
        <v>1423</v>
      </c>
      <c r="D43" s="7" t="s">
        <v>1424</v>
      </c>
      <c r="E43" s="7" t="s">
        <v>1624</v>
      </c>
      <c r="F43" s="7" t="s">
        <v>1586</v>
      </c>
      <c r="G43" s="21" t="s">
        <v>181</v>
      </c>
      <c r="H43" s="21" t="s">
        <v>347</v>
      </c>
      <c r="I43" s="21" t="s">
        <v>220</v>
      </c>
      <c r="J43" s="8"/>
      <c r="K43" s="8" t="str">
        <f>"100,0"</f>
        <v>100,0</v>
      </c>
      <c r="L43" s="8" t="str">
        <f>"58,4942"</f>
        <v>58,4942</v>
      </c>
      <c r="M43" s="7" t="s">
        <v>1392</v>
      </c>
    </row>
    <row r="44" spans="1:13">
      <c r="B44" s="5" t="s">
        <v>166</v>
      </c>
    </row>
    <row r="47" spans="1:13" ht="18">
      <c r="B47" s="15" t="s">
        <v>141</v>
      </c>
      <c r="C47" s="15"/>
    </row>
    <row r="48" spans="1:13" ht="16">
      <c r="B48" s="16" t="s">
        <v>150</v>
      </c>
      <c r="C48" s="16"/>
    </row>
    <row r="49" spans="2:6" ht="14">
      <c r="B49" s="17"/>
      <c r="C49" s="18" t="s">
        <v>161</v>
      </c>
    </row>
    <row r="50" spans="2:6" ht="14">
      <c r="B50" s="19" t="s">
        <v>144</v>
      </c>
      <c r="C50" s="19" t="s">
        <v>145</v>
      </c>
      <c r="D50" s="19" t="s">
        <v>1430</v>
      </c>
      <c r="E50" s="19" t="s">
        <v>582</v>
      </c>
      <c r="F50" s="19" t="s">
        <v>583</v>
      </c>
    </row>
    <row r="51" spans="2:6">
      <c r="B51" s="5" t="s">
        <v>1400</v>
      </c>
      <c r="C51" s="5" t="s">
        <v>1240</v>
      </c>
      <c r="D51" s="6" t="s">
        <v>243</v>
      </c>
      <c r="E51" s="6" t="s">
        <v>229</v>
      </c>
      <c r="F51" s="6" t="s">
        <v>1425</v>
      </c>
    </row>
    <row r="52" spans="2:6">
      <c r="B52" s="5" t="s">
        <v>1416</v>
      </c>
      <c r="C52" s="5" t="s">
        <v>1240</v>
      </c>
      <c r="D52" s="6" t="s">
        <v>163</v>
      </c>
      <c r="E52" s="6" t="s">
        <v>367</v>
      </c>
      <c r="F52" s="6" t="s">
        <v>1426</v>
      </c>
    </row>
    <row r="53" spans="2:6">
      <c r="B53" s="5" t="s">
        <v>1413</v>
      </c>
      <c r="C53" s="5" t="s">
        <v>245</v>
      </c>
      <c r="D53" s="6" t="s">
        <v>163</v>
      </c>
      <c r="E53" s="6" t="s">
        <v>14</v>
      </c>
      <c r="F53" s="6" t="s">
        <v>1427</v>
      </c>
    </row>
    <row r="54" spans="2:6">
      <c r="B54" s="5" t="s">
        <v>166</v>
      </c>
    </row>
  </sheetData>
  <mergeCells count="23">
    <mergeCell ref="A26:J26"/>
    <mergeCell ref="A29:J29"/>
    <mergeCell ref="A33:J33"/>
    <mergeCell ref="A36:J36"/>
    <mergeCell ref="A42:J42"/>
    <mergeCell ref="A20:J20"/>
    <mergeCell ref="A23:J23"/>
    <mergeCell ref="K3:K4"/>
    <mergeCell ref="L3:L4"/>
    <mergeCell ref="M3:M4"/>
    <mergeCell ref="A5:J5"/>
    <mergeCell ref="B3:B4"/>
    <mergeCell ref="A8:J8"/>
    <mergeCell ref="A11:J11"/>
    <mergeCell ref="A14:J14"/>
    <mergeCell ref="A17:J17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05"/>
  <sheetViews>
    <sheetView topLeftCell="A59" workbookViewId="0">
      <selection activeCell="E89" sqref="E89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10" width="5.5" style="6" customWidth="1"/>
    <col min="11" max="11" width="10.5" style="30" bestFit="1" customWidth="1"/>
    <col min="12" max="12" width="8.5" style="6" bestFit="1" customWidth="1"/>
    <col min="13" max="13" width="25.83203125" style="5" bestFit="1" customWidth="1"/>
    <col min="14" max="16384" width="9.1640625" style="3"/>
  </cols>
  <sheetData>
    <row r="1" spans="1:13" s="2" customFormat="1" ht="29" customHeight="1">
      <c r="A1" s="35" t="s">
        <v>1485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1488</v>
      </c>
      <c r="B3" s="55" t="s">
        <v>0</v>
      </c>
      <c r="C3" s="45" t="s">
        <v>1620</v>
      </c>
      <c r="D3" s="45" t="s">
        <v>5</v>
      </c>
      <c r="E3" s="47" t="s">
        <v>1621</v>
      </c>
      <c r="F3" s="47" t="s">
        <v>6</v>
      </c>
      <c r="G3" s="47" t="s">
        <v>9</v>
      </c>
      <c r="H3" s="47"/>
      <c r="I3" s="47"/>
      <c r="J3" s="47"/>
      <c r="K3" s="49" t="s">
        <v>587</v>
      </c>
      <c r="L3" s="47" t="s">
        <v>3</v>
      </c>
      <c r="M3" s="51" t="s">
        <v>2</v>
      </c>
    </row>
    <row r="4" spans="1:13" s="1" customFormat="1" ht="21" customHeight="1" thickBot="1">
      <c r="A4" s="44"/>
      <c r="B4" s="56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50"/>
      <c r="L4" s="46"/>
      <c r="M4" s="52"/>
    </row>
    <row r="5" spans="1:13" ht="16">
      <c r="A5" s="53" t="s">
        <v>342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165</v>
      </c>
      <c r="B6" s="7" t="s">
        <v>1129</v>
      </c>
      <c r="C6" s="7" t="s">
        <v>1130</v>
      </c>
      <c r="D6" s="7" t="s">
        <v>1131</v>
      </c>
      <c r="E6" s="7" t="s">
        <v>1627</v>
      </c>
      <c r="F6" s="7" t="s">
        <v>1490</v>
      </c>
      <c r="G6" s="21" t="s">
        <v>229</v>
      </c>
      <c r="H6" s="21" t="s">
        <v>186</v>
      </c>
      <c r="I6" s="21" t="s">
        <v>62</v>
      </c>
      <c r="J6" s="8"/>
      <c r="K6" s="33" t="str">
        <f>"120,0"</f>
        <v>120,0</v>
      </c>
      <c r="L6" s="8" t="str">
        <f>"217,2096"</f>
        <v>217,2096</v>
      </c>
      <c r="M6" s="7" t="s">
        <v>871</v>
      </c>
    </row>
    <row r="7" spans="1:13">
      <c r="B7" s="5" t="s">
        <v>166</v>
      </c>
    </row>
    <row r="8" spans="1:13" ht="16">
      <c r="A8" s="48" t="s">
        <v>356</v>
      </c>
      <c r="B8" s="48"/>
      <c r="C8" s="48"/>
      <c r="D8" s="48"/>
      <c r="E8" s="48"/>
      <c r="F8" s="48"/>
      <c r="G8" s="48"/>
      <c r="H8" s="48"/>
      <c r="I8" s="48"/>
      <c r="J8" s="48"/>
    </row>
    <row r="9" spans="1:13">
      <c r="A9" s="8" t="s">
        <v>165</v>
      </c>
      <c r="B9" s="7" t="s">
        <v>1132</v>
      </c>
      <c r="C9" s="7" t="s">
        <v>1133</v>
      </c>
      <c r="D9" s="7" t="s">
        <v>1134</v>
      </c>
      <c r="E9" s="7" t="s">
        <v>1623</v>
      </c>
      <c r="F9" s="7" t="s">
        <v>1490</v>
      </c>
      <c r="G9" s="21" t="s">
        <v>199</v>
      </c>
      <c r="H9" s="20" t="s">
        <v>200</v>
      </c>
      <c r="I9" s="20" t="s">
        <v>200</v>
      </c>
      <c r="J9" s="8"/>
      <c r="K9" s="33" t="str">
        <f>"117,5"</f>
        <v>117,5</v>
      </c>
      <c r="L9" s="8" t="str">
        <f>"148,2380"</f>
        <v>148,2380</v>
      </c>
      <c r="M9" s="7" t="s">
        <v>1135</v>
      </c>
    </row>
    <row r="10" spans="1:13">
      <c r="B10" s="5" t="s">
        <v>166</v>
      </c>
    </row>
    <row r="11" spans="1:13" ht="16">
      <c r="A11" s="48" t="s">
        <v>171</v>
      </c>
      <c r="B11" s="48"/>
      <c r="C11" s="48"/>
      <c r="D11" s="48"/>
      <c r="E11" s="48"/>
      <c r="F11" s="48"/>
      <c r="G11" s="48"/>
      <c r="H11" s="48"/>
      <c r="I11" s="48"/>
      <c r="J11" s="48"/>
    </row>
    <row r="12" spans="1:13">
      <c r="A12" s="10" t="s">
        <v>169</v>
      </c>
      <c r="B12" s="9" t="s">
        <v>1136</v>
      </c>
      <c r="C12" s="9" t="s">
        <v>1137</v>
      </c>
      <c r="D12" s="9" t="s">
        <v>1138</v>
      </c>
      <c r="E12" s="9" t="s">
        <v>1626</v>
      </c>
      <c r="F12" s="9" t="s">
        <v>264</v>
      </c>
      <c r="G12" s="23" t="s">
        <v>220</v>
      </c>
      <c r="H12" s="23" t="s">
        <v>220</v>
      </c>
      <c r="I12" s="23" t="s">
        <v>186</v>
      </c>
      <c r="J12" s="10"/>
      <c r="K12" s="31">
        <v>0</v>
      </c>
      <c r="L12" s="10" t="str">
        <f>"0,0000"</f>
        <v>0,0000</v>
      </c>
      <c r="M12" s="9" t="s">
        <v>1139</v>
      </c>
    </row>
    <row r="13" spans="1:13">
      <c r="A13" s="12" t="s">
        <v>165</v>
      </c>
      <c r="B13" s="11" t="s">
        <v>1140</v>
      </c>
      <c r="C13" s="11" t="s">
        <v>1141</v>
      </c>
      <c r="D13" s="11" t="s">
        <v>1142</v>
      </c>
      <c r="E13" s="11" t="s">
        <v>1623</v>
      </c>
      <c r="F13" s="11" t="s">
        <v>1505</v>
      </c>
      <c r="G13" s="24" t="s">
        <v>186</v>
      </c>
      <c r="H13" s="24" t="s">
        <v>62</v>
      </c>
      <c r="I13" s="25" t="s">
        <v>62</v>
      </c>
      <c r="J13" s="12"/>
      <c r="K13" s="34" t="str">
        <f>"120,0"</f>
        <v>120,0</v>
      </c>
      <c r="L13" s="12" t="str">
        <f>"143,1960"</f>
        <v>143,1960</v>
      </c>
      <c r="M13" s="11" t="s">
        <v>362</v>
      </c>
    </row>
    <row r="14" spans="1:13">
      <c r="A14" s="12" t="s">
        <v>167</v>
      </c>
      <c r="B14" s="11" t="s">
        <v>1143</v>
      </c>
      <c r="C14" s="11" t="s">
        <v>1144</v>
      </c>
      <c r="D14" s="11" t="s">
        <v>1145</v>
      </c>
      <c r="E14" s="11" t="s">
        <v>1623</v>
      </c>
      <c r="F14" s="11" t="s">
        <v>1490</v>
      </c>
      <c r="G14" s="25" t="s">
        <v>186</v>
      </c>
      <c r="H14" s="25" t="s">
        <v>199</v>
      </c>
      <c r="I14" s="24" t="s">
        <v>200</v>
      </c>
      <c r="J14" s="12"/>
      <c r="K14" s="34" t="str">
        <f>"117,5"</f>
        <v>117,5</v>
      </c>
      <c r="L14" s="12" t="str">
        <f>"139,8250"</f>
        <v>139,8250</v>
      </c>
      <c r="M14" s="11" t="s">
        <v>1146</v>
      </c>
    </row>
    <row r="15" spans="1:13">
      <c r="A15" s="12" t="s">
        <v>168</v>
      </c>
      <c r="B15" s="11" t="s">
        <v>1147</v>
      </c>
      <c r="C15" s="11" t="s">
        <v>1148</v>
      </c>
      <c r="D15" s="11" t="s">
        <v>370</v>
      </c>
      <c r="E15" s="11" t="s">
        <v>1623</v>
      </c>
      <c r="F15" s="11" t="s">
        <v>1490</v>
      </c>
      <c r="G15" s="25" t="s">
        <v>347</v>
      </c>
      <c r="H15" s="25" t="s">
        <v>229</v>
      </c>
      <c r="I15" s="24" t="s">
        <v>367</v>
      </c>
      <c r="J15" s="12"/>
      <c r="K15" s="34" t="str">
        <f>"105,0"</f>
        <v>105,0</v>
      </c>
      <c r="L15" s="12" t="str">
        <f>"124,7715"</f>
        <v>124,7715</v>
      </c>
      <c r="M15" s="11" t="s">
        <v>264</v>
      </c>
    </row>
    <row r="16" spans="1:13">
      <c r="A16" s="14" t="s">
        <v>170</v>
      </c>
      <c r="B16" s="13" t="s">
        <v>172</v>
      </c>
      <c r="C16" s="13" t="s">
        <v>173</v>
      </c>
      <c r="D16" s="13" t="s">
        <v>174</v>
      </c>
      <c r="E16" s="13" t="s">
        <v>1623</v>
      </c>
      <c r="F16" s="13" t="s">
        <v>1604</v>
      </c>
      <c r="G16" s="27" t="s">
        <v>179</v>
      </c>
      <c r="H16" s="27" t="s">
        <v>180</v>
      </c>
      <c r="I16" s="27" t="s">
        <v>181</v>
      </c>
      <c r="J16" s="14"/>
      <c r="K16" s="32" t="str">
        <f>"90,0"</f>
        <v>90,0</v>
      </c>
      <c r="L16" s="14" t="str">
        <f>"108,6390"</f>
        <v>108,6390</v>
      </c>
      <c r="M16" s="13" t="s">
        <v>182</v>
      </c>
    </row>
    <row r="17" spans="1:13">
      <c r="B17" s="5" t="s">
        <v>166</v>
      </c>
    </row>
    <row r="18" spans="1:13" ht="16">
      <c r="A18" s="48" t="s">
        <v>183</v>
      </c>
      <c r="B18" s="48"/>
      <c r="C18" s="48"/>
      <c r="D18" s="48"/>
      <c r="E18" s="48"/>
      <c r="F18" s="48"/>
      <c r="G18" s="48"/>
      <c r="H18" s="48"/>
      <c r="I18" s="48"/>
      <c r="J18" s="48"/>
    </row>
    <row r="19" spans="1:13">
      <c r="A19" s="10" t="s">
        <v>165</v>
      </c>
      <c r="B19" s="9" t="s">
        <v>1149</v>
      </c>
      <c r="C19" s="9" t="s">
        <v>1150</v>
      </c>
      <c r="D19" s="9" t="s">
        <v>598</v>
      </c>
      <c r="E19" s="9" t="s">
        <v>1623</v>
      </c>
      <c r="F19" s="9" t="s">
        <v>1490</v>
      </c>
      <c r="G19" s="22" t="s">
        <v>187</v>
      </c>
      <c r="H19" s="22" t="s">
        <v>97</v>
      </c>
      <c r="I19" s="22" t="s">
        <v>266</v>
      </c>
      <c r="J19" s="10"/>
      <c r="K19" s="31" t="str">
        <f>"135,0"</f>
        <v>135,0</v>
      </c>
      <c r="L19" s="10" t="str">
        <f>"152,2935"</f>
        <v>152,2935</v>
      </c>
      <c r="M19" s="9" t="s">
        <v>264</v>
      </c>
    </row>
    <row r="20" spans="1:13">
      <c r="A20" s="14" t="s">
        <v>167</v>
      </c>
      <c r="B20" s="13" t="s">
        <v>1151</v>
      </c>
      <c r="C20" s="13" t="s">
        <v>1152</v>
      </c>
      <c r="D20" s="13" t="s">
        <v>250</v>
      </c>
      <c r="E20" s="13" t="s">
        <v>1623</v>
      </c>
      <c r="F20" s="13" t="s">
        <v>1490</v>
      </c>
      <c r="G20" s="27" t="s">
        <v>367</v>
      </c>
      <c r="H20" s="27" t="s">
        <v>62</v>
      </c>
      <c r="I20" s="26" t="s">
        <v>234</v>
      </c>
      <c r="J20" s="14"/>
      <c r="K20" s="32" t="str">
        <f>"120,0"</f>
        <v>120,0</v>
      </c>
      <c r="L20" s="14" t="str">
        <f>"134,4840"</f>
        <v>134,4840</v>
      </c>
      <c r="M20" s="13" t="s">
        <v>1153</v>
      </c>
    </row>
    <row r="21" spans="1:13">
      <c r="B21" s="5" t="s">
        <v>166</v>
      </c>
    </row>
    <row r="22" spans="1:13" ht="16">
      <c r="A22" s="48" t="s">
        <v>191</v>
      </c>
      <c r="B22" s="48"/>
      <c r="C22" s="48"/>
      <c r="D22" s="48"/>
      <c r="E22" s="48"/>
      <c r="F22" s="48"/>
      <c r="G22" s="48"/>
      <c r="H22" s="48"/>
      <c r="I22" s="48"/>
      <c r="J22" s="48"/>
    </row>
    <row r="23" spans="1:13">
      <c r="A23" s="10" t="s">
        <v>165</v>
      </c>
      <c r="B23" s="9" t="s">
        <v>397</v>
      </c>
      <c r="C23" s="9" t="s">
        <v>398</v>
      </c>
      <c r="D23" s="9" t="s">
        <v>399</v>
      </c>
      <c r="E23" s="9" t="s">
        <v>1626</v>
      </c>
      <c r="F23" s="9" t="s">
        <v>1492</v>
      </c>
      <c r="G23" s="22" t="s">
        <v>229</v>
      </c>
      <c r="H23" s="22" t="s">
        <v>367</v>
      </c>
      <c r="I23" s="22" t="s">
        <v>200</v>
      </c>
      <c r="J23" s="10"/>
      <c r="K23" s="31" t="str">
        <f>"122,5"</f>
        <v>122,5</v>
      </c>
      <c r="L23" s="10" t="str">
        <f>"125,0235"</f>
        <v>125,0235</v>
      </c>
      <c r="M23" s="9" t="s">
        <v>400</v>
      </c>
    </row>
    <row r="24" spans="1:13">
      <c r="A24" s="12" t="s">
        <v>167</v>
      </c>
      <c r="B24" s="11" t="s">
        <v>401</v>
      </c>
      <c r="C24" s="11" t="s">
        <v>402</v>
      </c>
      <c r="D24" s="11" t="s">
        <v>403</v>
      </c>
      <c r="E24" s="11" t="s">
        <v>1626</v>
      </c>
      <c r="F24" s="11" t="s">
        <v>1493</v>
      </c>
      <c r="G24" s="25" t="s">
        <v>229</v>
      </c>
      <c r="H24" s="25" t="s">
        <v>391</v>
      </c>
      <c r="I24" s="25" t="s">
        <v>199</v>
      </c>
      <c r="J24" s="12"/>
      <c r="K24" s="34" t="str">
        <f>"117,5"</f>
        <v>117,5</v>
      </c>
      <c r="L24" s="12" t="str">
        <f>"126,0423"</f>
        <v>126,0423</v>
      </c>
      <c r="M24" s="11" t="s">
        <v>404</v>
      </c>
    </row>
    <row r="25" spans="1:13">
      <c r="A25" s="12" t="s">
        <v>165</v>
      </c>
      <c r="B25" s="11" t="s">
        <v>1154</v>
      </c>
      <c r="C25" s="11" t="s">
        <v>1155</v>
      </c>
      <c r="D25" s="11" t="s">
        <v>1156</v>
      </c>
      <c r="E25" s="11" t="s">
        <v>1623</v>
      </c>
      <c r="F25" s="11" t="s">
        <v>1490</v>
      </c>
      <c r="G25" s="25" t="s">
        <v>14</v>
      </c>
      <c r="H25" s="25" t="s">
        <v>15</v>
      </c>
      <c r="I25" s="25" t="s">
        <v>238</v>
      </c>
      <c r="J25" s="24" t="s">
        <v>46</v>
      </c>
      <c r="K25" s="34" t="str">
        <f>"167,5"</f>
        <v>167,5</v>
      </c>
      <c r="L25" s="12" t="str">
        <f>"181,2015"</f>
        <v>181,2015</v>
      </c>
      <c r="M25" s="11" t="s">
        <v>1157</v>
      </c>
    </row>
    <row r="26" spans="1:13">
      <c r="A26" s="14" t="s">
        <v>167</v>
      </c>
      <c r="B26" s="13" t="s">
        <v>1158</v>
      </c>
      <c r="C26" s="13" t="s">
        <v>1159</v>
      </c>
      <c r="D26" s="13" t="s">
        <v>411</v>
      </c>
      <c r="E26" s="13" t="s">
        <v>1623</v>
      </c>
      <c r="F26" s="13" t="s">
        <v>1490</v>
      </c>
      <c r="G26" s="27" t="s">
        <v>187</v>
      </c>
      <c r="H26" s="27" t="s">
        <v>54</v>
      </c>
      <c r="I26" s="26" t="s">
        <v>15</v>
      </c>
      <c r="J26" s="14"/>
      <c r="K26" s="32" t="str">
        <f>"145,0"</f>
        <v>145,0</v>
      </c>
      <c r="L26" s="14" t="str">
        <f>"153,1780"</f>
        <v>153,1780</v>
      </c>
      <c r="M26" s="13" t="s">
        <v>871</v>
      </c>
    </row>
    <row r="27" spans="1:13">
      <c r="B27" s="5" t="s">
        <v>166</v>
      </c>
    </row>
    <row r="28" spans="1:13" ht="16">
      <c r="A28" s="48" t="s">
        <v>22</v>
      </c>
      <c r="B28" s="48"/>
      <c r="C28" s="48"/>
      <c r="D28" s="48"/>
      <c r="E28" s="48"/>
      <c r="F28" s="48"/>
      <c r="G28" s="48"/>
      <c r="H28" s="48"/>
      <c r="I28" s="48"/>
      <c r="J28" s="48"/>
    </row>
    <row r="29" spans="1:13">
      <c r="A29" s="8" t="s">
        <v>165</v>
      </c>
      <c r="B29" s="7" t="s">
        <v>1160</v>
      </c>
      <c r="C29" s="7" t="s">
        <v>1161</v>
      </c>
      <c r="D29" s="7" t="s">
        <v>1162</v>
      </c>
      <c r="E29" s="7" t="s">
        <v>1623</v>
      </c>
      <c r="F29" s="7" t="s">
        <v>1490</v>
      </c>
      <c r="G29" s="21" t="s">
        <v>229</v>
      </c>
      <c r="H29" s="20" t="s">
        <v>62</v>
      </c>
      <c r="I29" s="21" t="s">
        <v>271</v>
      </c>
      <c r="J29" s="8"/>
      <c r="K29" s="33" t="str">
        <f>"127,5"</f>
        <v>127,5</v>
      </c>
      <c r="L29" s="8" t="str">
        <f>"125,8553"</f>
        <v>125,8553</v>
      </c>
      <c r="M29" s="7" t="s">
        <v>871</v>
      </c>
    </row>
    <row r="30" spans="1:13">
      <c r="B30" s="5" t="s">
        <v>166</v>
      </c>
    </row>
    <row r="31" spans="1:13" ht="16">
      <c r="A31" s="48" t="s">
        <v>64</v>
      </c>
      <c r="B31" s="48"/>
      <c r="C31" s="48"/>
      <c r="D31" s="48"/>
      <c r="E31" s="48"/>
      <c r="F31" s="48"/>
      <c r="G31" s="48"/>
      <c r="H31" s="48"/>
      <c r="I31" s="48"/>
      <c r="J31" s="48"/>
    </row>
    <row r="32" spans="1:13">
      <c r="A32" s="8" t="s">
        <v>165</v>
      </c>
      <c r="B32" s="7" t="s">
        <v>418</v>
      </c>
      <c r="C32" s="7" t="s">
        <v>419</v>
      </c>
      <c r="D32" s="7" t="s">
        <v>420</v>
      </c>
      <c r="E32" s="7" t="s">
        <v>1623</v>
      </c>
      <c r="F32" s="7" t="s">
        <v>1490</v>
      </c>
      <c r="G32" s="21" t="s">
        <v>97</v>
      </c>
      <c r="H32" s="21" t="s">
        <v>98</v>
      </c>
      <c r="I32" s="21" t="s">
        <v>14</v>
      </c>
      <c r="J32" s="8"/>
      <c r="K32" s="33" t="str">
        <f>"150,0"</f>
        <v>150,0</v>
      </c>
      <c r="L32" s="8" t="str">
        <f>"132,4650"</f>
        <v>132,4650</v>
      </c>
      <c r="M32" s="7" t="s">
        <v>264</v>
      </c>
    </row>
    <row r="33" spans="1:13">
      <c r="B33" s="5" t="s">
        <v>166</v>
      </c>
    </row>
    <row r="34" spans="1:13" ht="16">
      <c r="A34" s="48" t="s">
        <v>421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3">
      <c r="A35" s="8" t="s">
        <v>165</v>
      </c>
      <c r="B35" s="7" t="s">
        <v>422</v>
      </c>
      <c r="C35" s="7" t="s">
        <v>423</v>
      </c>
      <c r="D35" s="7" t="s">
        <v>424</v>
      </c>
      <c r="E35" s="7" t="s">
        <v>1623</v>
      </c>
      <c r="F35" s="7" t="s">
        <v>1490</v>
      </c>
      <c r="G35" s="21" t="s">
        <v>97</v>
      </c>
      <c r="H35" s="20" t="s">
        <v>98</v>
      </c>
      <c r="I35" s="21" t="s">
        <v>98</v>
      </c>
      <c r="J35" s="8"/>
      <c r="K35" s="33" t="str">
        <f>"140,0"</f>
        <v>140,0</v>
      </c>
      <c r="L35" s="8" t="str">
        <f>"114,0720"</f>
        <v>114,0720</v>
      </c>
      <c r="M35" s="7" t="s">
        <v>425</v>
      </c>
    </row>
    <row r="36" spans="1:13">
      <c r="B36" s="5" t="s">
        <v>166</v>
      </c>
    </row>
    <row r="37" spans="1:13" ht="16">
      <c r="A37" s="48" t="s">
        <v>356</v>
      </c>
      <c r="B37" s="48"/>
      <c r="C37" s="48"/>
      <c r="D37" s="48"/>
      <c r="E37" s="48"/>
      <c r="F37" s="48"/>
      <c r="G37" s="48"/>
      <c r="H37" s="48"/>
      <c r="I37" s="48"/>
      <c r="J37" s="48"/>
    </row>
    <row r="38" spans="1:13">
      <c r="A38" s="8" t="s">
        <v>165</v>
      </c>
      <c r="B38" s="7" t="s">
        <v>1163</v>
      </c>
      <c r="C38" s="7" t="s">
        <v>1164</v>
      </c>
      <c r="D38" s="7" t="s">
        <v>1165</v>
      </c>
      <c r="E38" s="7" t="s">
        <v>1625</v>
      </c>
      <c r="F38" s="7" t="s">
        <v>1490</v>
      </c>
      <c r="G38" s="21" t="s">
        <v>180</v>
      </c>
      <c r="H38" s="21" t="s">
        <v>347</v>
      </c>
      <c r="I38" s="20" t="s">
        <v>258</v>
      </c>
      <c r="J38" s="8"/>
      <c r="K38" s="33" t="str">
        <f>"95,0"</f>
        <v>95,0</v>
      </c>
      <c r="L38" s="8" t="str">
        <f>"95,7505"</f>
        <v>95,7505</v>
      </c>
      <c r="M38" s="7" t="s">
        <v>1166</v>
      </c>
    </row>
    <row r="39" spans="1:13">
      <c r="B39" s="5" t="s">
        <v>166</v>
      </c>
    </row>
    <row r="40" spans="1:13" ht="16">
      <c r="A40" s="48" t="s">
        <v>171</v>
      </c>
      <c r="B40" s="48"/>
      <c r="C40" s="48"/>
      <c r="D40" s="48"/>
      <c r="E40" s="48"/>
      <c r="F40" s="48"/>
      <c r="G40" s="48"/>
      <c r="H40" s="48"/>
      <c r="I40" s="48"/>
      <c r="J40" s="48"/>
    </row>
    <row r="41" spans="1:13">
      <c r="A41" s="8" t="s">
        <v>165</v>
      </c>
      <c r="B41" s="7" t="s">
        <v>1167</v>
      </c>
      <c r="C41" s="7" t="s">
        <v>1168</v>
      </c>
      <c r="D41" s="7" t="s">
        <v>1138</v>
      </c>
      <c r="E41" s="7" t="s">
        <v>1623</v>
      </c>
      <c r="F41" s="7" t="s">
        <v>1530</v>
      </c>
      <c r="G41" s="21" t="s">
        <v>19</v>
      </c>
      <c r="H41" s="21" t="s">
        <v>1169</v>
      </c>
      <c r="I41" s="21" t="s">
        <v>20</v>
      </c>
      <c r="J41" s="8"/>
      <c r="K41" s="33" t="str">
        <f>"180,0"</f>
        <v>180,0</v>
      </c>
      <c r="L41" s="8" t="str">
        <f>"165,3120"</f>
        <v>165,3120</v>
      </c>
      <c r="M41" s="7" t="s">
        <v>264</v>
      </c>
    </row>
    <row r="42" spans="1:13">
      <c r="B42" s="5" t="s">
        <v>166</v>
      </c>
    </row>
    <row r="43" spans="1:13" ht="16">
      <c r="A43" s="48" t="s">
        <v>191</v>
      </c>
      <c r="B43" s="48"/>
      <c r="C43" s="48"/>
      <c r="D43" s="48"/>
      <c r="E43" s="48"/>
      <c r="F43" s="48"/>
      <c r="G43" s="48"/>
      <c r="H43" s="48"/>
      <c r="I43" s="48"/>
      <c r="J43" s="48"/>
    </row>
    <row r="44" spans="1:13">
      <c r="A44" s="8" t="s">
        <v>165</v>
      </c>
      <c r="B44" s="7" t="s">
        <v>1170</v>
      </c>
      <c r="C44" s="7" t="s">
        <v>1171</v>
      </c>
      <c r="D44" s="7" t="s">
        <v>407</v>
      </c>
      <c r="E44" s="7" t="s">
        <v>1622</v>
      </c>
      <c r="F44" s="7" t="s">
        <v>1560</v>
      </c>
      <c r="G44" s="21" t="s">
        <v>21</v>
      </c>
      <c r="H44" s="21" t="s">
        <v>61</v>
      </c>
      <c r="I44" s="20" t="s">
        <v>127</v>
      </c>
      <c r="J44" s="8"/>
      <c r="K44" s="33" t="str">
        <f>"200,0"</f>
        <v>200,0</v>
      </c>
      <c r="L44" s="8" t="str">
        <f>"154,7600"</f>
        <v>154,7600</v>
      </c>
      <c r="M44" s="7" t="s">
        <v>264</v>
      </c>
    </row>
    <row r="45" spans="1:13">
      <c r="B45" s="5" t="s">
        <v>166</v>
      </c>
    </row>
    <row r="46" spans="1:13" ht="16">
      <c r="A46" s="48" t="s">
        <v>22</v>
      </c>
      <c r="B46" s="48"/>
      <c r="C46" s="48"/>
      <c r="D46" s="48"/>
      <c r="E46" s="48"/>
      <c r="F46" s="48"/>
      <c r="G46" s="48"/>
      <c r="H46" s="48"/>
      <c r="I46" s="48"/>
      <c r="J46" s="48"/>
    </row>
    <row r="47" spans="1:13">
      <c r="A47" s="10" t="s">
        <v>165</v>
      </c>
      <c r="B47" s="9" t="s">
        <v>1172</v>
      </c>
      <c r="C47" s="9" t="s">
        <v>1173</v>
      </c>
      <c r="D47" s="9" t="s">
        <v>440</v>
      </c>
      <c r="E47" s="9" t="s">
        <v>1622</v>
      </c>
      <c r="F47" s="9" t="s">
        <v>1576</v>
      </c>
      <c r="G47" s="22" t="s">
        <v>15</v>
      </c>
      <c r="H47" s="23" t="s">
        <v>38</v>
      </c>
      <c r="I47" s="22" t="s">
        <v>38</v>
      </c>
      <c r="J47" s="10"/>
      <c r="K47" s="31" t="str">
        <f>"182,5"</f>
        <v>182,5</v>
      </c>
      <c r="L47" s="10" t="str">
        <f>"131,6555"</f>
        <v>131,6555</v>
      </c>
      <c r="M47" s="9" t="s">
        <v>264</v>
      </c>
    </row>
    <row r="48" spans="1:13">
      <c r="A48" s="12" t="s">
        <v>165</v>
      </c>
      <c r="B48" s="11" t="s">
        <v>1174</v>
      </c>
      <c r="C48" s="11" t="s">
        <v>1175</v>
      </c>
      <c r="D48" s="11" t="s">
        <v>1176</v>
      </c>
      <c r="E48" s="11" t="s">
        <v>1626</v>
      </c>
      <c r="F48" s="11" t="s">
        <v>1615</v>
      </c>
      <c r="G48" s="25" t="s">
        <v>201</v>
      </c>
      <c r="H48" s="25" t="s">
        <v>52</v>
      </c>
      <c r="I48" s="24" t="s">
        <v>206</v>
      </c>
      <c r="J48" s="12"/>
      <c r="K48" s="34" t="str">
        <f>"215,0"</f>
        <v>215,0</v>
      </c>
      <c r="L48" s="12" t="str">
        <f>"157,4230"</f>
        <v>157,4230</v>
      </c>
      <c r="M48" s="11" t="s">
        <v>1177</v>
      </c>
    </row>
    <row r="49" spans="1:13">
      <c r="A49" s="12" t="s">
        <v>169</v>
      </c>
      <c r="B49" s="11" t="s">
        <v>1178</v>
      </c>
      <c r="C49" s="11" t="s">
        <v>1179</v>
      </c>
      <c r="D49" s="11" t="s">
        <v>1180</v>
      </c>
      <c r="E49" s="11" t="s">
        <v>1626</v>
      </c>
      <c r="F49" s="11" t="s">
        <v>1582</v>
      </c>
      <c r="G49" s="24" t="s">
        <v>19</v>
      </c>
      <c r="H49" s="24" t="s">
        <v>139</v>
      </c>
      <c r="I49" s="24" t="s">
        <v>38</v>
      </c>
      <c r="J49" s="12"/>
      <c r="K49" s="34">
        <v>0</v>
      </c>
      <c r="L49" s="12" t="str">
        <f>"0,0000"</f>
        <v>0,0000</v>
      </c>
      <c r="M49" s="11" t="s">
        <v>264</v>
      </c>
    </row>
    <row r="50" spans="1:13">
      <c r="A50" s="12" t="s">
        <v>165</v>
      </c>
      <c r="B50" s="11" t="s">
        <v>444</v>
      </c>
      <c r="C50" s="11" t="s">
        <v>445</v>
      </c>
      <c r="D50" s="11" t="s">
        <v>263</v>
      </c>
      <c r="E50" s="11" t="s">
        <v>1623</v>
      </c>
      <c r="F50" s="11" t="s">
        <v>1490</v>
      </c>
      <c r="G50" s="25" t="s">
        <v>198</v>
      </c>
      <c r="H50" s="25" t="s">
        <v>446</v>
      </c>
      <c r="I50" s="24" t="s">
        <v>447</v>
      </c>
      <c r="J50" s="12"/>
      <c r="K50" s="34" t="str">
        <f>"247,5"</f>
        <v>247,5</v>
      </c>
      <c r="L50" s="12" t="str">
        <f>"176,3685"</f>
        <v>176,3685</v>
      </c>
      <c r="M50" s="11" t="s">
        <v>264</v>
      </c>
    </row>
    <row r="51" spans="1:13">
      <c r="A51" s="14" t="s">
        <v>165</v>
      </c>
      <c r="B51" s="13" t="s">
        <v>1181</v>
      </c>
      <c r="C51" s="13" t="s">
        <v>1182</v>
      </c>
      <c r="D51" s="13" t="s">
        <v>545</v>
      </c>
      <c r="E51" s="13" t="s">
        <v>1629</v>
      </c>
      <c r="F51" s="13" t="s">
        <v>1490</v>
      </c>
      <c r="G51" s="27" t="s">
        <v>201</v>
      </c>
      <c r="H51" s="26" t="s">
        <v>52</v>
      </c>
      <c r="I51" s="26" t="s">
        <v>52</v>
      </c>
      <c r="J51" s="14"/>
      <c r="K51" s="32" t="str">
        <f>"207,5"</f>
        <v>207,5</v>
      </c>
      <c r="L51" s="14" t="str">
        <f>"204,4253"</f>
        <v>204,4253</v>
      </c>
      <c r="M51" s="13" t="s">
        <v>264</v>
      </c>
    </row>
    <row r="52" spans="1:13">
      <c r="B52" s="5" t="s">
        <v>166</v>
      </c>
    </row>
    <row r="53" spans="1:13" ht="16">
      <c r="A53" s="48" t="s">
        <v>10</v>
      </c>
      <c r="B53" s="48"/>
      <c r="C53" s="48"/>
      <c r="D53" s="48"/>
      <c r="E53" s="48"/>
      <c r="F53" s="48"/>
      <c r="G53" s="48"/>
      <c r="H53" s="48"/>
      <c r="I53" s="48"/>
      <c r="J53" s="48"/>
    </row>
    <row r="54" spans="1:13">
      <c r="A54" s="10" t="s">
        <v>165</v>
      </c>
      <c r="B54" s="9" t="s">
        <v>1183</v>
      </c>
      <c r="C54" s="9" t="s">
        <v>1184</v>
      </c>
      <c r="D54" s="9" t="s">
        <v>550</v>
      </c>
      <c r="E54" s="9" t="s">
        <v>1626</v>
      </c>
      <c r="F54" s="9" t="s">
        <v>1560</v>
      </c>
      <c r="G54" s="22" t="s">
        <v>27</v>
      </c>
      <c r="H54" s="22" t="s">
        <v>215</v>
      </c>
      <c r="I54" s="23" t="s">
        <v>447</v>
      </c>
      <c r="J54" s="10"/>
      <c r="K54" s="31" t="str">
        <f>"245,0"</f>
        <v>245,0</v>
      </c>
      <c r="L54" s="10" t="str">
        <f>"165,4730"</f>
        <v>165,4730</v>
      </c>
      <c r="M54" s="9" t="s">
        <v>264</v>
      </c>
    </row>
    <row r="55" spans="1:13">
      <c r="A55" s="12" t="s">
        <v>165</v>
      </c>
      <c r="B55" s="11" t="s">
        <v>1185</v>
      </c>
      <c r="C55" s="11" t="s">
        <v>1186</v>
      </c>
      <c r="D55" s="11" t="s">
        <v>45</v>
      </c>
      <c r="E55" s="11" t="s">
        <v>1623</v>
      </c>
      <c r="F55" s="11" t="s">
        <v>1490</v>
      </c>
      <c r="G55" s="25" t="s">
        <v>26</v>
      </c>
      <c r="H55" s="24" t="s">
        <v>56</v>
      </c>
      <c r="I55" s="24" t="s">
        <v>56</v>
      </c>
      <c r="J55" s="12"/>
      <c r="K55" s="34" t="str">
        <f>"220,0"</f>
        <v>220,0</v>
      </c>
      <c r="L55" s="12" t="str">
        <f>"148,3680"</f>
        <v>148,3680</v>
      </c>
      <c r="M55" s="11" t="s">
        <v>1187</v>
      </c>
    </row>
    <row r="56" spans="1:13">
      <c r="A56" s="12" t="s">
        <v>167</v>
      </c>
      <c r="B56" s="11" t="s">
        <v>1188</v>
      </c>
      <c r="C56" s="11" t="s">
        <v>1189</v>
      </c>
      <c r="D56" s="11" t="s">
        <v>1190</v>
      </c>
      <c r="E56" s="11" t="s">
        <v>1623</v>
      </c>
      <c r="F56" s="11" t="s">
        <v>1534</v>
      </c>
      <c r="G56" s="25" t="s">
        <v>21</v>
      </c>
      <c r="H56" s="25" t="s">
        <v>61</v>
      </c>
      <c r="I56" s="24" t="s">
        <v>51</v>
      </c>
      <c r="J56" s="12"/>
      <c r="K56" s="34" t="str">
        <f>"200,0"</f>
        <v>200,0</v>
      </c>
      <c r="L56" s="12" t="str">
        <f>"134,1800"</f>
        <v>134,1800</v>
      </c>
      <c r="M56" s="11" t="s">
        <v>1191</v>
      </c>
    </row>
    <row r="57" spans="1:13">
      <c r="A57" s="12" t="s">
        <v>168</v>
      </c>
      <c r="B57" s="11" t="s">
        <v>1192</v>
      </c>
      <c r="C57" s="11" t="s">
        <v>1193</v>
      </c>
      <c r="D57" s="11" t="s">
        <v>1194</v>
      </c>
      <c r="E57" s="11" t="s">
        <v>1623</v>
      </c>
      <c r="F57" s="11" t="s">
        <v>1490</v>
      </c>
      <c r="G57" s="25" t="s">
        <v>139</v>
      </c>
      <c r="H57" s="25" t="s">
        <v>21</v>
      </c>
      <c r="I57" s="24" t="s">
        <v>61</v>
      </c>
      <c r="J57" s="12"/>
      <c r="K57" s="34" t="str">
        <f>"190,0"</f>
        <v>190,0</v>
      </c>
      <c r="L57" s="12" t="str">
        <f>"127,6610"</f>
        <v>127,6610</v>
      </c>
      <c r="M57" s="11" t="s">
        <v>482</v>
      </c>
    </row>
    <row r="58" spans="1:13">
      <c r="A58" s="14" t="s">
        <v>165</v>
      </c>
      <c r="B58" s="13" t="s">
        <v>1195</v>
      </c>
      <c r="C58" s="13" t="s">
        <v>1196</v>
      </c>
      <c r="D58" s="13" t="s">
        <v>1197</v>
      </c>
      <c r="E58" s="13" t="s">
        <v>1624</v>
      </c>
      <c r="F58" s="13" t="s">
        <v>1532</v>
      </c>
      <c r="G58" s="27" t="s">
        <v>21</v>
      </c>
      <c r="H58" s="27" t="s">
        <v>51</v>
      </c>
      <c r="I58" s="27" t="s">
        <v>52</v>
      </c>
      <c r="J58" s="14"/>
      <c r="K58" s="32" t="str">
        <f>"215,0"</f>
        <v>215,0</v>
      </c>
      <c r="L58" s="14" t="str">
        <f>"146,0451"</f>
        <v>146,0451</v>
      </c>
      <c r="M58" s="13" t="s">
        <v>264</v>
      </c>
    </row>
    <row r="59" spans="1:13">
      <c r="B59" s="5" t="s">
        <v>166</v>
      </c>
    </row>
    <row r="60" spans="1:13" ht="16">
      <c r="A60" s="48" t="s">
        <v>64</v>
      </c>
      <c r="B60" s="48"/>
      <c r="C60" s="48"/>
      <c r="D60" s="48"/>
      <c r="E60" s="48"/>
      <c r="F60" s="48"/>
      <c r="G60" s="48"/>
      <c r="H60" s="48"/>
      <c r="I60" s="48"/>
      <c r="J60" s="48"/>
    </row>
    <row r="61" spans="1:13">
      <c r="A61" s="10" t="s">
        <v>165</v>
      </c>
      <c r="B61" s="9" t="s">
        <v>1198</v>
      </c>
      <c r="C61" s="9" t="s">
        <v>1199</v>
      </c>
      <c r="D61" s="9" t="s">
        <v>283</v>
      </c>
      <c r="E61" s="9" t="s">
        <v>1625</v>
      </c>
      <c r="F61" s="9" t="s">
        <v>1535</v>
      </c>
      <c r="G61" s="22" t="s">
        <v>20</v>
      </c>
      <c r="H61" s="22" t="s">
        <v>21</v>
      </c>
      <c r="I61" s="22" t="s">
        <v>69</v>
      </c>
      <c r="J61" s="10"/>
      <c r="K61" s="31" t="str">
        <f>"202,5"</f>
        <v>202,5</v>
      </c>
      <c r="L61" s="10" t="str">
        <f>"129,2760"</f>
        <v>129,2760</v>
      </c>
      <c r="M61" s="9" t="s">
        <v>759</v>
      </c>
    </row>
    <row r="62" spans="1:13">
      <c r="A62" s="12" t="s">
        <v>165</v>
      </c>
      <c r="B62" s="11" t="s">
        <v>477</v>
      </c>
      <c r="C62" s="11" t="s">
        <v>478</v>
      </c>
      <c r="D62" s="11" t="s">
        <v>479</v>
      </c>
      <c r="E62" s="11" t="s">
        <v>1622</v>
      </c>
      <c r="F62" s="11" t="s">
        <v>1615</v>
      </c>
      <c r="G62" s="25" t="s">
        <v>56</v>
      </c>
      <c r="H62" s="24" t="s">
        <v>57</v>
      </c>
      <c r="I62" s="24" t="s">
        <v>57</v>
      </c>
      <c r="J62" s="12"/>
      <c r="K62" s="34" t="str">
        <f>"230,0"</f>
        <v>230,0</v>
      </c>
      <c r="L62" s="12" t="str">
        <f>"150,6270"</f>
        <v>150,6270</v>
      </c>
      <c r="M62" s="11" t="s">
        <v>264</v>
      </c>
    </row>
    <row r="63" spans="1:13">
      <c r="A63" s="12" t="s">
        <v>167</v>
      </c>
      <c r="B63" s="11" t="s">
        <v>480</v>
      </c>
      <c r="C63" s="11" t="s">
        <v>481</v>
      </c>
      <c r="D63" s="11" t="s">
        <v>283</v>
      </c>
      <c r="E63" s="11" t="s">
        <v>1622</v>
      </c>
      <c r="F63" s="11" t="s">
        <v>1490</v>
      </c>
      <c r="G63" s="25" t="s">
        <v>186</v>
      </c>
      <c r="H63" s="25" t="s">
        <v>97</v>
      </c>
      <c r="I63" s="25" t="s">
        <v>98</v>
      </c>
      <c r="J63" s="12"/>
      <c r="K63" s="34" t="str">
        <f>"140,0"</f>
        <v>140,0</v>
      </c>
      <c r="L63" s="12" t="str">
        <f>"89,3760"</f>
        <v>89,3760</v>
      </c>
      <c r="M63" s="11" t="s">
        <v>482</v>
      </c>
    </row>
    <row r="64" spans="1:13">
      <c r="A64" s="12" t="s">
        <v>165</v>
      </c>
      <c r="B64" s="11" t="s">
        <v>208</v>
      </c>
      <c r="C64" s="11" t="s">
        <v>209</v>
      </c>
      <c r="D64" s="11" t="s">
        <v>210</v>
      </c>
      <c r="E64" s="11" t="s">
        <v>1623</v>
      </c>
      <c r="F64" s="11" t="s">
        <v>1605</v>
      </c>
      <c r="G64" s="25" t="s">
        <v>57</v>
      </c>
      <c r="H64" s="25" t="s">
        <v>121</v>
      </c>
      <c r="I64" s="25" t="s">
        <v>31</v>
      </c>
      <c r="J64" s="24" t="s">
        <v>68</v>
      </c>
      <c r="K64" s="34" t="str">
        <f>"275,0"</f>
        <v>275,0</v>
      </c>
      <c r="L64" s="12" t="str">
        <f>"180,5650"</f>
        <v>180,5650</v>
      </c>
      <c r="M64" s="11" t="s">
        <v>264</v>
      </c>
    </row>
    <row r="65" spans="1:13">
      <c r="A65" s="12" t="s">
        <v>167</v>
      </c>
      <c r="B65" s="11" t="s">
        <v>483</v>
      </c>
      <c r="C65" s="11" t="s">
        <v>484</v>
      </c>
      <c r="D65" s="11" t="s">
        <v>291</v>
      </c>
      <c r="E65" s="11" t="s">
        <v>1623</v>
      </c>
      <c r="F65" s="11" t="s">
        <v>1499</v>
      </c>
      <c r="G65" s="25" t="s">
        <v>30</v>
      </c>
      <c r="H65" s="25" t="s">
        <v>40</v>
      </c>
      <c r="I65" s="24" t="s">
        <v>31</v>
      </c>
      <c r="J65" s="12"/>
      <c r="K65" s="34" t="str">
        <f>"270,0"</f>
        <v>270,0</v>
      </c>
      <c r="L65" s="12" t="str">
        <f>"176,5800"</f>
        <v>176,5800</v>
      </c>
      <c r="M65" s="11" t="s">
        <v>264</v>
      </c>
    </row>
    <row r="66" spans="1:13">
      <c r="A66" s="12" t="s">
        <v>168</v>
      </c>
      <c r="B66" s="11" t="s">
        <v>487</v>
      </c>
      <c r="C66" s="11" t="s">
        <v>488</v>
      </c>
      <c r="D66" s="11" t="s">
        <v>489</v>
      </c>
      <c r="E66" s="11" t="s">
        <v>1623</v>
      </c>
      <c r="F66" s="11" t="s">
        <v>1498</v>
      </c>
      <c r="G66" s="25" t="s">
        <v>57</v>
      </c>
      <c r="H66" s="25" t="s">
        <v>30</v>
      </c>
      <c r="I66" s="25" t="s">
        <v>121</v>
      </c>
      <c r="J66" s="12"/>
      <c r="K66" s="34" t="str">
        <f>"265,0"</f>
        <v>265,0</v>
      </c>
      <c r="L66" s="12" t="str">
        <f>"170,8455"</f>
        <v>170,8455</v>
      </c>
      <c r="M66" s="11" t="s">
        <v>264</v>
      </c>
    </row>
    <row r="67" spans="1:13">
      <c r="A67" s="12" t="s">
        <v>170</v>
      </c>
      <c r="B67" s="11" t="s">
        <v>1200</v>
      </c>
      <c r="C67" s="11" t="s">
        <v>1201</v>
      </c>
      <c r="D67" s="11" t="s">
        <v>1202</v>
      </c>
      <c r="E67" s="11" t="s">
        <v>1623</v>
      </c>
      <c r="F67" s="11" t="s">
        <v>1490</v>
      </c>
      <c r="G67" s="25" t="s">
        <v>215</v>
      </c>
      <c r="H67" s="25" t="s">
        <v>465</v>
      </c>
      <c r="I67" s="24" t="s">
        <v>31</v>
      </c>
      <c r="J67" s="12"/>
      <c r="K67" s="34" t="str">
        <f>"262,5"</f>
        <v>262,5</v>
      </c>
      <c r="L67" s="12" t="str">
        <f>"169,7588"</f>
        <v>169,7588</v>
      </c>
      <c r="M67" s="11" t="s">
        <v>264</v>
      </c>
    </row>
    <row r="68" spans="1:13">
      <c r="A68" s="12" t="s">
        <v>542</v>
      </c>
      <c r="B68" s="11" t="s">
        <v>1203</v>
      </c>
      <c r="C68" s="11" t="s">
        <v>1204</v>
      </c>
      <c r="D68" s="11" t="s">
        <v>920</v>
      </c>
      <c r="E68" s="11" t="s">
        <v>1623</v>
      </c>
      <c r="F68" s="11" t="s">
        <v>1490</v>
      </c>
      <c r="G68" s="25" t="s">
        <v>21</v>
      </c>
      <c r="H68" s="25" t="s">
        <v>69</v>
      </c>
      <c r="I68" s="25" t="s">
        <v>127</v>
      </c>
      <c r="J68" s="12"/>
      <c r="K68" s="34" t="str">
        <f>"210,0"</f>
        <v>210,0</v>
      </c>
      <c r="L68" s="12" t="str">
        <f>"136,7310"</f>
        <v>136,7310</v>
      </c>
      <c r="M68" s="11" t="s">
        <v>264</v>
      </c>
    </row>
    <row r="69" spans="1:13">
      <c r="A69" s="12" t="s">
        <v>704</v>
      </c>
      <c r="B69" s="11" t="s">
        <v>1205</v>
      </c>
      <c r="C69" s="11" t="s">
        <v>1206</v>
      </c>
      <c r="D69" s="11" t="s">
        <v>225</v>
      </c>
      <c r="E69" s="11" t="s">
        <v>1623</v>
      </c>
      <c r="F69" s="11" t="s">
        <v>1490</v>
      </c>
      <c r="G69" s="25" t="s">
        <v>679</v>
      </c>
      <c r="H69" s="25" t="s">
        <v>37</v>
      </c>
      <c r="I69" s="25" t="s">
        <v>74</v>
      </c>
      <c r="J69" s="12"/>
      <c r="K69" s="34" t="str">
        <f>"177,5"</f>
        <v>177,5</v>
      </c>
      <c r="L69" s="12" t="str">
        <f>"113,4403"</f>
        <v>113,4403</v>
      </c>
      <c r="M69" s="11" t="s">
        <v>1207</v>
      </c>
    </row>
    <row r="70" spans="1:13">
      <c r="A70" s="12" t="s">
        <v>165</v>
      </c>
      <c r="B70" s="11" t="s">
        <v>1208</v>
      </c>
      <c r="C70" s="11" t="s">
        <v>1209</v>
      </c>
      <c r="D70" s="11" t="s">
        <v>1210</v>
      </c>
      <c r="E70" s="11" t="s">
        <v>1624</v>
      </c>
      <c r="F70" s="11" t="s">
        <v>1590</v>
      </c>
      <c r="G70" s="25" t="s">
        <v>21</v>
      </c>
      <c r="H70" s="24" t="s">
        <v>51</v>
      </c>
      <c r="I70" s="25" t="s">
        <v>51</v>
      </c>
      <c r="J70" s="12"/>
      <c r="K70" s="34" t="str">
        <f>"205,0"</f>
        <v>205,0</v>
      </c>
      <c r="L70" s="12" t="str">
        <f>"138,1712"</f>
        <v>138,1712</v>
      </c>
      <c r="M70" s="11" t="s">
        <v>482</v>
      </c>
    </row>
    <row r="71" spans="1:13">
      <c r="A71" s="12" t="s">
        <v>165</v>
      </c>
      <c r="B71" s="11" t="s">
        <v>208</v>
      </c>
      <c r="C71" s="11" t="s">
        <v>222</v>
      </c>
      <c r="D71" s="11" t="s">
        <v>210</v>
      </c>
      <c r="E71" s="11" t="s">
        <v>1627</v>
      </c>
      <c r="F71" s="11" t="s">
        <v>1605</v>
      </c>
      <c r="G71" s="25" t="s">
        <v>57</v>
      </c>
      <c r="H71" s="25" t="s">
        <v>121</v>
      </c>
      <c r="I71" s="25" t="s">
        <v>31</v>
      </c>
      <c r="J71" s="24" t="s">
        <v>68</v>
      </c>
      <c r="K71" s="34" t="str">
        <f>"275,0"</f>
        <v>275,0</v>
      </c>
      <c r="L71" s="12" t="str">
        <f>"221,7338"</f>
        <v>221,7338</v>
      </c>
      <c r="M71" s="11" t="s">
        <v>264</v>
      </c>
    </row>
    <row r="72" spans="1:13">
      <c r="A72" s="14" t="s">
        <v>165</v>
      </c>
      <c r="B72" s="13" t="s">
        <v>1211</v>
      </c>
      <c r="C72" s="13" t="s">
        <v>1212</v>
      </c>
      <c r="D72" s="13" t="s">
        <v>1213</v>
      </c>
      <c r="E72" s="13" t="s">
        <v>1629</v>
      </c>
      <c r="F72" s="13" t="s">
        <v>1539</v>
      </c>
      <c r="G72" s="27" t="s">
        <v>52</v>
      </c>
      <c r="H72" s="27" t="s">
        <v>56</v>
      </c>
      <c r="I72" s="27" t="s">
        <v>1214</v>
      </c>
      <c r="J72" s="14"/>
      <c r="K72" s="32" t="str">
        <f>"243,0"</f>
        <v>243,0</v>
      </c>
      <c r="L72" s="14" t="str">
        <f>"218,7423"</f>
        <v>218,7423</v>
      </c>
      <c r="M72" s="13" t="s">
        <v>264</v>
      </c>
    </row>
    <row r="73" spans="1:13">
      <c r="B73" s="5" t="s">
        <v>166</v>
      </c>
    </row>
    <row r="74" spans="1:13" ht="16">
      <c r="A74" s="48" t="s">
        <v>70</v>
      </c>
      <c r="B74" s="48"/>
      <c r="C74" s="48"/>
      <c r="D74" s="48"/>
      <c r="E74" s="48"/>
      <c r="F74" s="48"/>
      <c r="G74" s="48"/>
      <c r="H74" s="48"/>
      <c r="I74" s="48"/>
      <c r="J74" s="48"/>
    </row>
    <row r="75" spans="1:13">
      <c r="A75" s="10" t="s">
        <v>165</v>
      </c>
      <c r="B75" s="9" t="s">
        <v>1215</v>
      </c>
      <c r="C75" s="9" t="s">
        <v>1216</v>
      </c>
      <c r="D75" s="9" t="s">
        <v>641</v>
      </c>
      <c r="E75" s="9" t="s">
        <v>1622</v>
      </c>
      <c r="F75" s="9" t="s">
        <v>1489</v>
      </c>
      <c r="G75" s="22" t="s">
        <v>127</v>
      </c>
      <c r="H75" s="22" t="s">
        <v>53</v>
      </c>
      <c r="I75" s="22" t="s">
        <v>214</v>
      </c>
      <c r="J75" s="10"/>
      <c r="K75" s="31" t="str">
        <f>"240,0"</f>
        <v>240,0</v>
      </c>
      <c r="L75" s="10" t="str">
        <f>"147,9840"</f>
        <v>147,9840</v>
      </c>
      <c r="M75" s="9" t="s">
        <v>350</v>
      </c>
    </row>
    <row r="76" spans="1:13">
      <c r="A76" s="12" t="s">
        <v>165</v>
      </c>
      <c r="B76" s="11" t="s">
        <v>1217</v>
      </c>
      <c r="C76" s="11" t="s">
        <v>1218</v>
      </c>
      <c r="D76" s="11" t="s">
        <v>652</v>
      </c>
      <c r="E76" s="11" t="s">
        <v>1623</v>
      </c>
      <c r="F76" s="11" t="s">
        <v>1490</v>
      </c>
      <c r="G76" s="25" t="s">
        <v>30</v>
      </c>
      <c r="H76" s="24" t="s">
        <v>31</v>
      </c>
      <c r="I76" s="24" t="s">
        <v>31</v>
      </c>
      <c r="J76" s="12"/>
      <c r="K76" s="34" t="str">
        <f>"260,0"</f>
        <v>260,0</v>
      </c>
      <c r="L76" s="12" t="str">
        <f>"159,1460"</f>
        <v>159,1460</v>
      </c>
      <c r="M76" s="11" t="s">
        <v>1187</v>
      </c>
    </row>
    <row r="77" spans="1:13">
      <c r="A77" s="12" t="s">
        <v>167</v>
      </c>
      <c r="B77" s="11" t="s">
        <v>495</v>
      </c>
      <c r="C77" s="11" t="s">
        <v>496</v>
      </c>
      <c r="D77" s="11" t="s">
        <v>497</v>
      </c>
      <c r="E77" s="11" t="s">
        <v>1623</v>
      </c>
      <c r="F77" s="11" t="s">
        <v>1501</v>
      </c>
      <c r="G77" s="24" t="s">
        <v>91</v>
      </c>
      <c r="H77" s="25" t="s">
        <v>91</v>
      </c>
      <c r="I77" s="24" t="s">
        <v>121</v>
      </c>
      <c r="J77" s="12"/>
      <c r="K77" s="34" t="str">
        <f>"255,0"</f>
        <v>255,0</v>
      </c>
      <c r="L77" s="12" t="str">
        <f>"157,5135"</f>
        <v>157,5135</v>
      </c>
      <c r="M77" s="11" t="s">
        <v>498</v>
      </c>
    </row>
    <row r="78" spans="1:13">
      <c r="A78" s="14" t="s">
        <v>165</v>
      </c>
      <c r="B78" s="13" t="s">
        <v>1219</v>
      </c>
      <c r="C78" s="13" t="s">
        <v>1220</v>
      </c>
      <c r="D78" s="13" t="s">
        <v>634</v>
      </c>
      <c r="E78" s="13" t="s">
        <v>1624</v>
      </c>
      <c r="F78" s="13" t="s">
        <v>1490</v>
      </c>
      <c r="G78" s="26" t="s">
        <v>14</v>
      </c>
      <c r="H78" s="27" t="s">
        <v>14</v>
      </c>
      <c r="I78" s="26" t="s">
        <v>19</v>
      </c>
      <c r="J78" s="14"/>
      <c r="K78" s="32" t="str">
        <f>"150,0"</f>
        <v>150,0</v>
      </c>
      <c r="L78" s="14" t="str">
        <f>"98,5797"</f>
        <v>98,5797</v>
      </c>
      <c r="M78" s="13" t="s">
        <v>264</v>
      </c>
    </row>
    <row r="79" spans="1:13">
      <c r="B79" s="5" t="s">
        <v>166</v>
      </c>
    </row>
    <row r="80" spans="1:13" ht="16">
      <c r="A80" s="48" t="s">
        <v>99</v>
      </c>
      <c r="B80" s="48"/>
      <c r="C80" s="48"/>
      <c r="D80" s="48"/>
      <c r="E80" s="48"/>
      <c r="F80" s="48"/>
      <c r="G80" s="48"/>
      <c r="H80" s="48"/>
      <c r="I80" s="48"/>
      <c r="J80" s="48"/>
    </row>
    <row r="81" spans="1:13">
      <c r="A81" s="10" t="s">
        <v>165</v>
      </c>
      <c r="B81" s="9" t="s">
        <v>1221</v>
      </c>
      <c r="C81" s="9" t="s">
        <v>1222</v>
      </c>
      <c r="D81" s="9" t="s">
        <v>1223</v>
      </c>
      <c r="E81" s="9" t="s">
        <v>1623</v>
      </c>
      <c r="F81" s="9" t="s">
        <v>1490</v>
      </c>
      <c r="G81" s="22" t="s">
        <v>21</v>
      </c>
      <c r="H81" s="23" t="s">
        <v>51</v>
      </c>
      <c r="I81" s="23" t="s">
        <v>51</v>
      </c>
      <c r="J81" s="10"/>
      <c r="K81" s="31" t="str">
        <f>"190,0"</f>
        <v>190,0</v>
      </c>
      <c r="L81" s="10" t="str">
        <f>"114,5320"</f>
        <v>114,5320</v>
      </c>
      <c r="M81" s="9" t="s">
        <v>482</v>
      </c>
    </row>
    <row r="82" spans="1:13">
      <c r="A82" s="14" t="s">
        <v>167</v>
      </c>
      <c r="B82" s="13" t="s">
        <v>1224</v>
      </c>
      <c r="C82" s="13" t="s">
        <v>1225</v>
      </c>
      <c r="D82" s="13" t="s">
        <v>1226</v>
      </c>
      <c r="E82" s="13" t="s">
        <v>1623</v>
      </c>
      <c r="F82" s="13" t="s">
        <v>1490</v>
      </c>
      <c r="G82" s="27" t="s">
        <v>14</v>
      </c>
      <c r="H82" s="27" t="s">
        <v>37</v>
      </c>
      <c r="I82" s="27" t="s">
        <v>75</v>
      </c>
      <c r="J82" s="14"/>
      <c r="K82" s="32" t="str">
        <f>"185,0"</f>
        <v>185,0</v>
      </c>
      <c r="L82" s="14" t="str">
        <f>"111,8140"</f>
        <v>111,8140</v>
      </c>
      <c r="M82" s="13" t="s">
        <v>264</v>
      </c>
    </row>
    <row r="83" spans="1:13">
      <c r="B83" s="5" t="s">
        <v>166</v>
      </c>
    </row>
    <row r="84" spans="1:13" ht="16">
      <c r="A84" s="48" t="s">
        <v>109</v>
      </c>
      <c r="B84" s="48"/>
      <c r="C84" s="48"/>
      <c r="D84" s="48"/>
      <c r="E84" s="48"/>
      <c r="F84" s="48"/>
      <c r="G84" s="48"/>
      <c r="H84" s="48"/>
      <c r="I84" s="48"/>
      <c r="J84" s="48"/>
    </row>
    <row r="85" spans="1:13">
      <c r="A85" s="8" t="s">
        <v>165</v>
      </c>
      <c r="B85" s="7" t="s">
        <v>1227</v>
      </c>
      <c r="C85" s="7" t="s">
        <v>1228</v>
      </c>
      <c r="D85" s="7" t="s">
        <v>1229</v>
      </c>
      <c r="E85" s="7" t="s">
        <v>1623</v>
      </c>
      <c r="F85" s="7" t="s">
        <v>1507</v>
      </c>
      <c r="G85" s="20" t="s">
        <v>20</v>
      </c>
      <c r="H85" s="20" t="s">
        <v>20</v>
      </c>
      <c r="I85" s="21" t="s">
        <v>20</v>
      </c>
      <c r="J85" s="8"/>
      <c r="K85" s="33" t="str">
        <f>"180,0"</f>
        <v>180,0</v>
      </c>
      <c r="L85" s="8" t="str">
        <f>"103,9680"</f>
        <v>103,9680</v>
      </c>
      <c r="M85" s="7" t="s">
        <v>1230</v>
      </c>
    </row>
    <row r="86" spans="1:13">
      <c r="B86" s="5" t="s">
        <v>166</v>
      </c>
    </row>
    <row r="87" spans="1:13" ht="16">
      <c r="A87" s="48" t="s">
        <v>132</v>
      </c>
      <c r="B87" s="48"/>
      <c r="C87" s="48"/>
      <c r="D87" s="48"/>
      <c r="E87" s="48"/>
      <c r="F87" s="48"/>
      <c r="G87" s="48"/>
      <c r="H87" s="48"/>
      <c r="I87" s="48"/>
      <c r="J87" s="48"/>
    </row>
    <row r="88" spans="1:13">
      <c r="A88" s="8" t="s">
        <v>169</v>
      </c>
      <c r="B88" s="7" t="s">
        <v>1231</v>
      </c>
      <c r="C88" s="7" t="s">
        <v>1232</v>
      </c>
      <c r="D88" s="7" t="s">
        <v>1233</v>
      </c>
      <c r="E88" s="7" t="s">
        <v>1624</v>
      </c>
      <c r="F88" s="7" t="s">
        <v>1567</v>
      </c>
      <c r="G88" s="20" t="s">
        <v>535</v>
      </c>
      <c r="H88" s="20" t="s">
        <v>535</v>
      </c>
      <c r="I88" s="20" t="s">
        <v>528</v>
      </c>
      <c r="J88" s="8"/>
      <c r="K88" s="33">
        <v>0</v>
      </c>
      <c r="L88" s="8" t="str">
        <f>"0,0000"</f>
        <v>0,0000</v>
      </c>
      <c r="M88" s="7" t="s">
        <v>264</v>
      </c>
    </row>
    <row r="89" spans="1:13">
      <c r="B89" s="5" t="s">
        <v>166</v>
      </c>
    </row>
    <row r="92" spans="1:13" ht="18">
      <c r="B92" s="15" t="s">
        <v>141</v>
      </c>
      <c r="C92" s="15"/>
    </row>
    <row r="93" spans="1:13" ht="16">
      <c r="B93" s="16" t="s">
        <v>142</v>
      </c>
      <c r="C93" s="16"/>
    </row>
    <row r="94" spans="1:13" ht="14">
      <c r="B94" s="17"/>
      <c r="C94" s="18" t="s">
        <v>143</v>
      </c>
    </row>
    <row r="95" spans="1:13" ht="14">
      <c r="B95" s="19" t="s">
        <v>144</v>
      </c>
      <c r="C95" s="19" t="s">
        <v>145</v>
      </c>
      <c r="D95" s="19" t="s">
        <v>1430</v>
      </c>
      <c r="E95" s="19" t="s">
        <v>582</v>
      </c>
      <c r="F95" s="19" t="s">
        <v>148</v>
      </c>
    </row>
    <row r="96" spans="1:13">
      <c r="B96" s="5" t="s">
        <v>1154</v>
      </c>
      <c r="C96" s="5" t="s">
        <v>143</v>
      </c>
      <c r="D96" s="6" t="s">
        <v>243</v>
      </c>
      <c r="E96" s="6" t="s">
        <v>238</v>
      </c>
      <c r="F96" s="6" t="s">
        <v>1234</v>
      </c>
    </row>
    <row r="97" spans="2:6">
      <c r="B97" s="5" t="s">
        <v>1158</v>
      </c>
      <c r="C97" s="5" t="s">
        <v>143</v>
      </c>
      <c r="D97" s="6" t="s">
        <v>243</v>
      </c>
      <c r="E97" s="6" t="s">
        <v>54</v>
      </c>
      <c r="F97" s="6" t="s">
        <v>1235</v>
      </c>
    </row>
    <row r="98" spans="2:6">
      <c r="B98" s="5" t="s">
        <v>1149</v>
      </c>
      <c r="C98" s="5" t="s">
        <v>143</v>
      </c>
      <c r="D98" s="6" t="s">
        <v>239</v>
      </c>
      <c r="E98" s="6" t="s">
        <v>266</v>
      </c>
      <c r="F98" s="6" t="s">
        <v>1236</v>
      </c>
    </row>
    <row r="100" spans="2:6" ht="16">
      <c r="B100" s="16" t="s">
        <v>150</v>
      </c>
      <c r="C100" s="16"/>
    </row>
    <row r="101" spans="2:6" ht="14">
      <c r="B101" s="17"/>
      <c r="C101" s="18" t="s">
        <v>143</v>
      </c>
    </row>
    <row r="102" spans="2:6" ht="14">
      <c r="B102" s="19" t="s">
        <v>144</v>
      </c>
      <c r="C102" s="19" t="s">
        <v>145</v>
      </c>
      <c r="D102" s="19" t="s">
        <v>1430</v>
      </c>
      <c r="E102" s="19" t="s">
        <v>582</v>
      </c>
      <c r="F102" s="19" t="s">
        <v>148</v>
      </c>
    </row>
    <row r="103" spans="2:6">
      <c r="B103" s="5" t="s">
        <v>208</v>
      </c>
      <c r="C103" s="5" t="s">
        <v>143</v>
      </c>
      <c r="D103" s="6" t="s">
        <v>244</v>
      </c>
      <c r="E103" s="6" t="s">
        <v>31</v>
      </c>
      <c r="F103" s="6" t="s">
        <v>1237</v>
      </c>
    </row>
    <row r="104" spans="2:6">
      <c r="B104" s="5" t="s">
        <v>483</v>
      </c>
      <c r="C104" s="5" t="s">
        <v>143</v>
      </c>
      <c r="D104" s="6" t="s">
        <v>244</v>
      </c>
      <c r="E104" s="6" t="s">
        <v>40</v>
      </c>
      <c r="F104" s="6" t="s">
        <v>1238</v>
      </c>
    </row>
    <row r="105" spans="2:6">
      <c r="B105" s="5" t="s">
        <v>444</v>
      </c>
      <c r="C105" s="5" t="s">
        <v>143</v>
      </c>
      <c r="D105" s="6" t="s">
        <v>158</v>
      </c>
      <c r="E105" s="6" t="s">
        <v>446</v>
      </c>
      <c r="F105" s="6" t="s">
        <v>1239</v>
      </c>
    </row>
  </sheetData>
  <mergeCells count="29">
    <mergeCell ref="A60:J60"/>
    <mergeCell ref="A74:J74"/>
    <mergeCell ref="A80:J80"/>
    <mergeCell ref="A84:J84"/>
    <mergeCell ref="A87:J87"/>
    <mergeCell ref="A46:J46"/>
    <mergeCell ref="A53:J53"/>
    <mergeCell ref="A8:J8"/>
    <mergeCell ref="A11:J11"/>
    <mergeCell ref="A18:J18"/>
    <mergeCell ref="A22:J22"/>
    <mergeCell ref="A28:J28"/>
    <mergeCell ref="A31:J31"/>
    <mergeCell ref="A34:J34"/>
    <mergeCell ref="A37:J37"/>
    <mergeCell ref="A40:J40"/>
    <mergeCell ref="A43:J43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B3:B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58"/>
  <sheetViews>
    <sheetView topLeftCell="A11" workbookViewId="0">
      <selection activeCell="J49" sqref="J49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8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5.83203125" style="5" customWidth="1"/>
    <col min="14" max="16384" width="9.1640625" style="3"/>
  </cols>
  <sheetData>
    <row r="1" spans="1:13" s="2" customFormat="1" ht="29" customHeight="1">
      <c r="A1" s="35" t="s">
        <v>1486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1488</v>
      </c>
      <c r="B3" s="55" t="s">
        <v>0</v>
      </c>
      <c r="C3" s="45" t="s">
        <v>1620</v>
      </c>
      <c r="D3" s="45" t="s">
        <v>5</v>
      </c>
      <c r="E3" s="47" t="s">
        <v>1621</v>
      </c>
      <c r="F3" s="47" t="s">
        <v>6</v>
      </c>
      <c r="G3" s="47" t="s">
        <v>9</v>
      </c>
      <c r="H3" s="47"/>
      <c r="I3" s="47"/>
      <c r="J3" s="47"/>
      <c r="K3" s="47" t="s">
        <v>587</v>
      </c>
      <c r="L3" s="47" t="s">
        <v>3</v>
      </c>
      <c r="M3" s="51" t="s">
        <v>2</v>
      </c>
    </row>
    <row r="4" spans="1:13" s="1" customFormat="1" ht="21" customHeight="1" thickBot="1">
      <c r="A4" s="44"/>
      <c r="B4" s="56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46"/>
      <c r="L4" s="46"/>
      <c r="M4" s="52"/>
    </row>
    <row r="5" spans="1:13" ht="16">
      <c r="A5" s="53" t="s">
        <v>191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165</v>
      </c>
      <c r="B6" s="7" t="s">
        <v>1083</v>
      </c>
      <c r="C6" s="7" t="s">
        <v>1084</v>
      </c>
      <c r="D6" s="7" t="s">
        <v>407</v>
      </c>
      <c r="E6" s="7" t="s">
        <v>1623</v>
      </c>
      <c r="F6" s="7" t="s">
        <v>1513</v>
      </c>
      <c r="G6" s="21" t="s">
        <v>19</v>
      </c>
      <c r="H6" s="20" t="s">
        <v>139</v>
      </c>
      <c r="I6" s="21" t="s">
        <v>139</v>
      </c>
      <c r="J6" s="8"/>
      <c r="K6" s="8" t="str">
        <f>"175,0"</f>
        <v>175,0</v>
      </c>
      <c r="L6" s="8" t="str">
        <f>"179,1825"</f>
        <v>179,1825</v>
      </c>
      <c r="M6" s="7" t="s">
        <v>1467</v>
      </c>
    </row>
    <row r="7" spans="1:13">
      <c r="B7" s="5" t="s">
        <v>166</v>
      </c>
    </row>
    <row r="8" spans="1:13" ht="16">
      <c r="A8" s="48" t="s">
        <v>64</v>
      </c>
      <c r="B8" s="48"/>
      <c r="C8" s="48"/>
      <c r="D8" s="48"/>
      <c r="E8" s="48"/>
      <c r="F8" s="48"/>
      <c r="G8" s="48"/>
      <c r="H8" s="48"/>
      <c r="I8" s="48"/>
      <c r="J8" s="48"/>
    </row>
    <row r="9" spans="1:13">
      <c r="A9" s="8" t="s">
        <v>165</v>
      </c>
      <c r="B9" s="7" t="s">
        <v>1085</v>
      </c>
      <c r="C9" s="7" t="s">
        <v>1086</v>
      </c>
      <c r="D9" s="7" t="s">
        <v>1087</v>
      </c>
      <c r="E9" s="7" t="s">
        <v>1623</v>
      </c>
      <c r="F9" s="7" t="s">
        <v>1490</v>
      </c>
      <c r="G9" s="21" t="s">
        <v>20</v>
      </c>
      <c r="H9" s="21" t="s">
        <v>114</v>
      </c>
      <c r="I9" s="20" t="s">
        <v>61</v>
      </c>
      <c r="J9" s="8"/>
      <c r="K9" s="8" t="str">
        <f>"192,5"</f>
        <v>192,5</v>
      </c>
      <c r="L9" s="8" t="str">
        <f>"168,5338"</f>
        <v>168,5338</v>
      </c>
      <c r="M9" s="7" t="s">
        <v>1088</v>
      </c>
    </row>
    <row r="10" spans="1:13">
      <c r="B10" s="5" t="s">
        <v>166</v>
      </c>
    </row>
    <row r="11" spans="1:13" ht="16">
      <c r="A11" s="48" t="s">
        <v>191</v>
      </c>
      <c r="B11" s="48"/>
      <c r="C11" s="48"/>
      <c r="D11" s="48"/>
      <c r="E11" s="48"/>
      <c r="F11" s="48"/>
      <c r="G11" s="48"/>
      <c r="H11" s="48"/>
      <c r="I11" s="48"/>
      <c r="J11" s="48"/>
    </row>
    <row r="12" spans="1:13">
      <c r="A12" s="8" t="s">
        <v>165</v>
      </c>
      <c r="B12" s="7" t="s">
        <v>1089</v>
      </c>
      <c r="C12" s="7" t="s">
        <v>1090</v>
      </c>
      <c r="D12" s="7" t="s">
        <v>1091</v>
      </c>
      <c r="E12" s="7" t="s">
        <v>1625</v>
      </c>
      <c r="F12" s="7" t="s">
        <v>1575</v>
      </c>
      <c r="G12" s="21" t="s">
        <v>54</v>
      </c>
      <c r="H12" s="21" t="s">
        <v>14</v>
      </c>
      <c r="I12" s="21" t="s">
        <v>253</v>
      </c>
      <c r="J12" s="8"/>
      <c r="K12" s="8" t="str">
        <f>"157,5"</f>
        <v>157,5</v>
      </c>
      <c r="L12" s="8" t="str">
        <f>"126,3938"</f>
        <v>126,3938</v>
      </c>
      <c r="M12" s="7" t="s">
        <v>264</v>
      </c>
    </row>
    <row r="13" spans="1:13">
      <c r="B13" s="5" t="s">
        <v>166</v>
      </c>
    </row>
    <row r="14" spans="1:13" ht="16">
      <c r="A14" s="48" t="s">
        <v>22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3">
      <c r="A15" s="8" t="s">
        <v>165</v>
      </c>
      <c r="B15" s="7" t="s">
        <v>23</v>
      </c>
      <c r="C15" s="7" t="s">
        <v>24</v>
      </c>
      <c r="D15" s="7" t="s">
        <v>25</v>
      </c>
      <c r="E15" s="7" t="s">
        <v>1623</v>
      </c>
      <c r="F15" s="7" t="s">
        <v>1522</v>
      </c>
      <c r="G15" s="21" t="s">
        <v>30</v>
      </c>
      <c r="H15" s="21" t="s">
        <v>31</v>
      </c>
      <c r="I15" s="20" t="s">
        <v>32</v>
      </c>
      <c r="J15" s="8"/>
      <c r="K15" s="8" t="str">
        <f>"275,0"</f>
        <v>275,0</v>
      </c>
      <c r="L15" s="8" t="str">
        <f>"197,8075"</f>
        <v>197,8075</v>
      </c>
      <c r="M15" s="7" t="s">
        <v>264</v>
      </c>
    </row>
    <row r="16" spans="1:13">
      <c r="B16" s="5" t="s">
        <v>166</v>
      </c>
    </row>
    <row r="17" spans="1:13" ht="16">
      <c r="A17" s="48" t="s">
        <v>10</v>
      </c>
      <c r="B17" s="48"/>
      <c r="C17" s="48"/>
      <c r="D17" s="48"/>
      <c r="E17" s="48"/>
      <c r="F17" s="48"/>
      <c r="G17" s="48"/>
      <c r="H17" s="48"/>
      <c r="I17" s="48"/>
      <c r="J17" s="48"/>
    </row>
    <row r="18" spans="1:13">
      <c r="A18" s="10" t="s">
        <v>165</v>
      </c>
      <c r="B18" s="9" t="s">
        <v>1092</v>
      </c>
      <c r="C18" s="9" t="s">
        <v>1093</v>
      </c>
      <c r="D18" s="9" t="s">
        <v>275</v>
      </c>
      <c r="E18" s="9" t="s">
        <v>1623</v>
      </c>
      <c r="F18" s="9" t="s">
        <v>1490</v>
      </c>
      <c r="G18" s="22" t="s">
        <v>30</v>
      </c>
      <c r="H18" s="22" t="s">
        <v>40</v>
      </c>
      <c r="I18" s="23" t="s">
        <v>31</v>
      </c>
      <c r="J18" s="10"/>
      <c r="K18" s="10" t="str">
        <f>"270,0"</f>
        <v>270,0</v>
      </c>
      <c r="L18" s="10" t="str">
        <f>"183,1950"</f>
        <v>183,1950</v>
      </c>
      <c r="M18" s="9" t="s">
        <v>264</v>
      </c>
    </row>
    <row r="19" spans="1:13">
      <c r="A19" s="12" t="s">
        <v>167</v>
      </c>
      <c r="B19" s="11" t="s">
        <v>48</v>
      </c>
      <c r="C19" s="11" t="s">
        <v>49</v>
      </c>
      <c r="D19" s="11" t="s">
        <v>50</v>
      </c>
      <c r="E19" s="11" t="s">
        <v>1623</v>
      </c>
      <c r="F19" s="11" t="s">
        <v>1614</v>
      </c>
      <c r="G19" s="25" t="s">
        <v>56</v>
      </c>
      <c r="H19" s="25" t="s">
        <v>57</v>
      </c>
      <c r="I19" s="24" t="s">
        <v>40</v>
      </c>
      <c r="J19" s="12"/>
      <c r="K19" s="12" t="str">
        <f>"250,0"</f>
        <v>250,0</v>
      </c>
      <c r="L19" s="12" t="str">
        <f>"168,7250"</f>
        <v>168,7250</v>
      </c>
      <c r="M19" s="11" t="s">
        <v>58</v>
      </c>
    </row>
    <row r="20" spans="1:13">
      <c r="A20" s="14" t="s">
        <v>165</v>
      </c>
      <c r="B20" s="13" t="s">
        <v>621</v>
      </c>
      <c r="C20" s="13" t="s">
        <v>622</v>
      </c>
      <c r="D20" s="13" t="s">
        <v>550</v>
      </c>
      <c r="E20" s="13" t="s">
        <v>1624</v>
      </c>
      <c r="F20" s="13" t="s">
        <v>1535</v>
      </c>
      <c r="G20" s="26" t="s">
        <v>214</v>
      </c>
      <c r="H20" s="27" t="s">
        <v>214</v>
      </c>
      <c r="I20" s="27" t="s">
        <v>57</v>
      </c>
      <c r="J20" s="14"/>
      <c r="K20" s="14" t="str">
        <f>"250,0"</f>
        <v>250,0</v>
      </c>
      <c r="L20" s="14" t="str">
        <f>"168,8500"</f>
        <v>168,8500</v>
      </c>
      <c r="M20" s="13" t="s">
        <v>264</v>
      </c>
    </row>
    <row r="21" spans="1:13">
      <c r="B21" s="5" t="s">
        <v>166</v>
      </c>
    </row>
    <row r="22" spans="1:13" ht="16">
      <c r="A22" s="48" t="s">
        <v>64</v>
      </c>
      <c r="B22" s="48"/>
      <c r="C22" s="48"/>
      <c r="D22" s="48"/>
      <c r="E22" s="48"/>
      <c r="F22" s="48"/>
      <c r="G22" s="48"/>
      <c r="H22" s="48"/>
      <c r="I22" s="48"/>
      <c r="J22" s="48"/>
    </row>
    <row r="23" spans="1:13">
      <c r="A23" s="10" t="s">
        <v>165</v>
      </c>
      <c r="B23" s="9" t="s">
        <v>555</v>
      </c>
      <c r="C23" s="9" t="s">
        <v>556</v>
      </c>
      <c r="D23" s="9" t="s">
        <v>557</v>
      </c>
      <c r="E23" s="9" t="s">
        <v>1623</v>
      </c>
      <c r="F23" s="9" t="s">
        <v>1607</v>
      </c>
      <c r="G23" s="22" t="s">
        <v>36</v>
      </c>
      <c r="H23" s="23" t="s">
        <v>41</v>
      </c>
      <c r="I23" s="23" t="s">
        <v>41</v>
      </c>
      <c r="J23" s="10"/>
      <c r="K23" s="10" t="str">
        <f>"290,0"</f>
        <v>290,0</v>
      </c>
      <c r="L23" s="10" t="str">
        <f>"186,2090"</f>
        <v>186,2090</v>
      </c>
      <c r="M23" s="9" t="s">
        <v>264</v>
      </c>
    </row>
    <row r="24" spans="1:13">
      <c r="A24" s="14" t="s">
        <v>167</v>
      </c>
      <c r="B24" s="13" t="s">
        <v>65</v>
      </c>
      <c r="C24" s="13" t="s">
        <v>66</v>
      </c>
      <c r="D24" s="13" t="s">
        <v>67</v>
      </c>
      <c r="E24" s="13" t="s">
        <v>1623</v>
      </c>
      <c r="F24" s="13" t="s">
        <v>1522</v>
      </c>
      <c r="G24" s="27" t="s">
        <v>40</v>
      </c>
      <c r="H24" s="26" t="s">
        <v>68</v>
      </c>
      <c r="I24" s="26" t="s">
        <v>68</v>
      </c>
      <c r="J24" s="14"/>
      <c r="K24" s="14" t="str">
        <f>"270,0"</f>
        <v>270,0</v>
      </c>
      <c r="L24" s="14" t="str">
        <f>"173,1510"</f>
        <v>173,1510</v>
      </c>
      <c r="M24" s="13" t="s">
        <v>264</v>
      </c>
    </row>
    <row r="25" spans="1:13">
      <c r="B25" s="5" t="s">
        <v>166</v>
      </c>
    </row>
    <row r="26" spans="1:13" ht="16">
      <c r="A26" s="48" t="s">
        <v>70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13">
      <c r="A27" s="10" t="s">
        <v>165</v>
      </c>
      <c r="B27" s="9" t="s">
        <v>78</v>
      </c>
      <c r="C27" s="9" t="s">
        <v>79</v>
      </c>
      <c r="D27" s="9" t="s">
        <v>80</v>
      </c>
      <c r="E27" s="9" t="s">
        <v>1623</v>
      </c>
      <c r="F27" s="9" t="s">
        <v>1615</v>
      </c>
      <c r="G27" s="22" t="s">
        <v>82</v>
      </c>
      <c r="H27" s="22" t="s">
        <v>81</v>
      </c>
      <c r="I27" s="23" t="s">
        <v>83</v>
      </c>
      <c r="J27" s="10"/>
      <c r="K27" s="10" t="str">
        <f>"320,0"</f>
        <v>320,0</v>
      </c>
      <c r="L27" s="10" t="str">
        <f>"198,1120"</f>
        <v>198,1120</v>
      </c>
      <c r="M27" s="9" t="s">
        <v>84</v>
      </c>
    </row>
    <row r="28" spans="1:13">
      <c r="A28" s="12" t="s">
        <v>167</v>
      </c>
      <c r="B28" s="11" t="s">
        <v>1094</v>
      </c>
      <c r="C28" s="11" t="s">
        <v>1095</v>
      </c>
      <c r="D28" s="11" t="s">
        <v>1096</v>
      </c>
      <c r="E28" s="11" t="s">
        <v>1623</v>
      </c>
      <c r="F28" s="11" t="s">
        <v>1555</v>
      </c>
      <c r="G28" s="25" t="s">
        <v>36</v>
      </c>
      <c r="H28" s="25" t="s">
        <v>41</v>
      </c>
      <c r="I28" s="12"/>
      <c r="J28" s="12"/>
      <c r="K28" s="12" t="str">
        <f>"300,0"</f>
        <v>300,0</v>
      </c>
      <c r="L28" s="12" t="str">
        <f>"183,1800"</f>
        <v>183,1800</v>
      </c>
      <c r="M28" s="11" t="s">
        <v>264</v>
      </c>
    </row>
    <row r="29" spans="1:13">
      <c r="A29" s="12" t="s">
        <v>169</v>
      </c>
      <c r="B29" s="11" t="s">
        <v>1097</v>
      </c>
      <c r="C29" s="11" t="s">
        <v>1098</v>
      </c>
      <c r="D29" s="11" t="s">
        <v>233</v>
      </c>
      <c r="E29" s="11" t="s">
        <v>1623</v>
      </c>
      <c r="F29" s="11" t="s">
        <v>1490</v>
      </c>
      <c r="G29" s="24" t="s">
        <v>1099</v>
      </c>
      <c r="H29" s="24" t="s">
        <v>1099</v>
      </c>
      <c r="I29" s="24" t="s">
        <v>1099</v>
      </c>
      <c r="J29" s="12"/>
      <c r="K29" s="12" t="str">
        <f>"0.00"</f>
        <v>0.00</v>
      </c>
      <c r="L29" s="12" t="str">
        <f>"0,0000"</f>
        <v>0,0000</v>
      </c>
      <c r="M29" s="11" t="s">
        <v>264</v>
      </c>
    </row>
    <row r="30" spans="1:13">
      <c r="A30" s="12" t="s">
        <v>165</v>
      </c>
      <c r="B30" s="11" t="s">
        <v>1100</v>
      </c>
      <c r="C30" s="11" t="s">
        <v>1101</v>
      </c>
      <c r="D30" s="11" t="s">
        <v>1096</v>
      </c>
      <c r="E30" s="11" t="s">
        <v>1624</v>
      </c>
      <c r="F30" s="11" t="s">
        <v>1591</v>
      </c>
      <c r="G30" s="25" t="s">
        <v>40</v>
      </c>
      <c r="H30" s="25" t="s">
        <v>32</v>
      </c>
      <c r="I30" s="24" t="s">
        <v>36</v>
      </c>
      <c r="J30" s="12"/>
      <c r="K30" s="12" t="str">
        <f>"285,0"</f>
        <v>285,0</v>
      </c>
      <c r="L30" s="12" t="str">
        <f>"174,8911"</f>
        <v>174,8911</v>
      </c>
      <c r="M30" s="11" t="s">
        <v>264</v>
      </c>
    </row>
    <row r="31" spans="1:13">
      <c r="A31" s="14" t="s">
        <v>165</v>
      </c>
      <c r="B31" s="13" t="s">
        <v>1102</v>
      </c>
      <c r="C31" s="13" t="s">
        <v>1103</v>
      </c>
      <c r="D31" s="13" t="s">
        <v>1104</v>
      </c>
      <c r="E31" s="13" t="s">
        <v>1628</v>
      </c>
      <c r="F31" s="13" t="s">
        <v>1592</v>
      </c>
      <c r="G31" s="27" t="s">
        <v>29</v>
      </c>
      <c r="H31" s="27" t="s">
        <v>15</v>
      </c>
      <c r="I31" s="27" t="s">
        <v>19</v>
      </c>
      <c r="J31" s="14"/>
      <c r="K31" s="14" t="str">
        <f>"165,0"</f>
        <v>165,0</v>
      </c>
      <c r="L31" s="14" t="str">
        <f>"190,0939"</f>
        <v>190,0939</v>
      </c>
      <c r="M31" s="13" t="s">
        <v>264</v>
      </c>
    </row>
    <row r="32" spans="1:13">
      <c r="B32" s="5" t="s">
        <v>166</v>
      </c>
    </row>
    <row r="33" spans="1:13" ht="16">
      <c r="A33" s="48" t="s">
        <v>99</v>
      </c>
      <c r="B33" s="48"/>
      <c r="C33" s="48"/>
      <c r="D33" s="48"/>
      <c r="E33" s="48"/>
      <c r="F33" s="48"/>
      <c r="G33" s="48"/>
      <c r="H33" s="48"/>
      <c r="I33" s="48"/>
      <c r="J33" s="48"/>
    </row>
    <row r="34" spans="1:13">
      <c r="A34" s="10" t="s">
        <v>165</v>
      </c>
      <c r="B34" s="9" t="s">
        <v>1105</v>
      </c>
      <c r="C34" s="9" t="s">
        <v>1106</v>
      </c>
      <c r="D34" s="9" t="s">
        <v>664</v>
      </c>
      <c r="E34" s="9" t="s">
        <v>1623</v>
      </c>
      <c r="F34" s="9" t="s">
        <v>1566</v>
      </c>
      <c r="G34" s="22" t="s">
        <v>1107</v>
      </c>
      <c r="H34" s="23" t="s">
        <v>529</v>
      </c>
      <c r="I34" s="23" t="s">
        <v>529</v>
      </c>
      <c r="J34" s="10"/>
      <c r="K34" s="10" t="str">
        <f>"322,5"</f>
        <v>322,5</v>
      </c>
      <c r="L34" s="10" t="str">
        <f>"190,5007"</f>
        <v>190,5007</v>
      </c>
      <c r="M34" s="9" t="s">
        <v>1468</v>
      </c>
    </row>
    <row r="35" spans="1:13">
      <c r="A35" s="12" t="s">
        <v>167</v>
      </c>
      <c r="B35" s="11" t="s">
        <v>1108</v>
      </c>
      <c r="C35" s="11" t="s">
        <v>1109</v>
      </c>
      <c r="D35" s="11" t="s">
        <v>664</v>
      </c>
      <c r="E35" s="11" t="s">
        <v>1623</v>
      </c>
      <c r="F35" s="11" t="s">
        <v>1490</v>
      </c>
      <c r="G35" s="25" t="s">
        <v>447</v>
      </c>
      <c r="H35" s="24" t="s">
        <v>121</v>
      </c>
      <c r="I35" s="24" t="s">
        <v>121</v>
      </c>
      <c r="J35" s="12"/>
      <c r="K35" s="12" t="str">
        <f>"252,5"</f>
        <v>252,5</v>
      </c>
      <c r="L35" s="12" t="str">
        <f>"149,1517"</f>
        <v>149,1517</v>
      </c>
      <c r="M35" s="11" t="s">
        <v>264</v>
      </c>
    </row>
    <row r="36" spans="1:13">
      <c r="A36" s="14" t="s">
        <v>165</v>
      </c>
      <c r="B36" s="13" t="s">
        <v>1110</v>
      </c>
      <c r="C36" s="13" t="s">
        <v>1111</v>
      </c>
      <c r="D36" s="13" t="s">
        <v>1066</v>
      </c>
      <c r="E36" s="13" t="s">
        <v>1627</v>
      </c>
      <c r="F36" s="13" t="s">
        <v>1523</v>
      </c>
      <c r="G36" s="27" t="s">
        <v>56</v>
      </c>
      <c r="H36" s="27" t="s">
        <v>214</v>
      </c>
      <c r="I36" s="27" t="s">
        <v>447</v>
      </c>
      <c r="J36" s="14"/>
      <c r="K36" s="14" t="str">
        <f>"252,5"</f>
        <v>252,5</v>
      </c>
      <c r="L36" s="14" t="str">
        <f>"192,6666"</f>
        <v>192,6666</v>
      </c>
      <c r="M36" s="13" t="s">
        <v>1112</v>
      </c>
    </row>
    <row r="37" spans="1:13">
      <c r="B37" s="5" t="s">
        <v>166</v>
      </c>
    </row>
    <row r="38" spans="1:13" ht="16">
      <c r="A38" s="48" t="s">
        <v>109</v>
      </c>
      <c r="B38" s="48"/>
      <c r="C38" s="48"/>
      <c r="D38" s="48"/>
      <c r="E38" s="48"/>
      <c r="F38" s="48"/>
      <c r="G38" s="48"/>
      <c r="H38" s="48"/>
      <c r="I38" s="48"/>
      <c r="J38" s="48"/>
    </row>
    <row r="39" spans="1:13">
      <c r="A39" s="10" t="s">
        <v>165</v>
      </c>
      <c r="B39" s="9" t="s">
        <v>1113</v>
      </c>
      <c r="C39" s="9" t="s">
        <v>1114</v>
      </c>
      <c r="D39" s="9" t="s">
        <v>514</v>
      </c>
      <c r="E39" s="9" t="s">
        <v>1623</v>
      </c>
      <c r="F39" s="9" t="s">
        <v>1490</v>
      </c>
      <c r="G39" s="22" t="s">
        <v>57</v>
      </c>
      <c r="H39" s="22" t="s">
        <v>40</v>
      </c>
      <c r="I39" s="22" t="s">
        <v>32</v>
      </c>
      <c r="J39" s="10"/>
      <c r="K39" s="10" t="str">
        <f>"285,0"</f>
        <v>285,0</v>
      </c>
      <c r="L39" s="10" t="str">
        <f>"162,8205"</f>
        <v>162,8205</v>
      </c>
      <c r="M39" s="9" t="s">
        <v>1115</v>
      </c>
    </row>
    <row r="40" spans="1:13">
      <c r="A40" s="14" t="s">
        <v>165</v>
      </c>
      <c r="B40" s="13" t="s">
        <v>579</v>
      </c>
      <c r="C40" s="13" t="s">
        <v>580</v>
      </c>
      <c r="D40" s="13" t="s">
        <v>581</v>
      </c>
      <c r="E40" s="13" t="s">
        <v>1628</v>
      </c>
      <c r="F40" s="13" t="s">
        <v>1611</v>
      </c>
      <c r="G40" s="27" t="s">
        <v>181</v>
      </c>
      <c r="H40" s="27" t="s">
        <v>220</v>
      </c>
      <c r="I40" s="27" t="s">
        <v>186</v>
      </c>
      <c r="J40" s="14"/>
      <c r="K40" s="14" t="str">
        <f>"110,0"</f>
        <v>110,0</v>
      </c>
      <c r="L40" s="14" t="str">
        <f>"130,4092"</f>
        <v>130,4092</v>
      </c>
      <c r="M40" s="13" t="s">
        <v>264</v>
      </c>
    </row>
    <row r="41" spans="1:13">
      <c r="B41" s="5" t="s">
        <v>166</v>
      </c>
    </row>
    <row r="42" spans="1:13" ht="16">
      <c r="A42" s="48" t="s">
        <v>132</v>
      </c>
      <c r="B42" s="48"/>
      <c r="C42" s="48"/>
      <c r="D42" s="48"/>
      <c r="E42" s="48"/>
      <c r="F42" s="48"/>
      <c r="G42" s="48"/>
      <c r="H42" s="48"/>
      <c r="I42" s="48"/>
      <c r="J42" s="48"/>
    </row>
    <row r="43" spans="1:13">
      <c r="A43" s="10" t="s">
        <v>165</v>
      </c>
      <c r="B43" s="9" t="s">
        <v>1116</v>
      </c>
      <c r="C43" s="9" t="s">
        <v>1117</v>
      </c>
      <c r="D43" s="9" t="s">
        <v>1118</v>
      </c>
      <c r="E43" s="9" t="s">
        <v>1623</v>
      </c>
      <c r="F43" s="9" t="s">
        <v>1593</v>
      </c>
      <c r="G43" s="22" t="s">
        <v>40</v>
      </c>
      <c r="H43" s="22" t="s">
        <v>36</v>
      </c>
      <c r="I43" s="22" t="s">
        <v>41</v>
      </c>
      <c r="J43" s="10"/>
      <c r="K43" s="10" t="str">
        <f>"300,0"</f>
        <v>300,0</v>
      </c>
      <c r="L43" s="10" t="str">
        <f>"168,9600"</f>
        <v>168,9600</v>
      </c>
      <c r="M43" s="9" t="s">
        <v>264</v>
      </c>
    </row>
    <row r="44" spans="1:13">
      <c r="A44" s="12" t="s">
        <v>167</v>
      </c>
      <c r="B44" s="11" t="s">
        <v>133</v>
      </c>
      <c r="C44" s="11" t="s">
        <v>134</v>
      </c>
      <c r="D44" s="11" t="s">
        <v>135</v>
      </c>
      <c r="E44" s="11" t="s">
        <v>1623</v>
      </c>
      <c r="F44" s="11" t="s">
        <v>1527</v>
      </c>
      <c r="G44" s="25" t="s">
        <v>40</v>
      </c>
      <c r="H44" s="25" t="s">
        <v>32</v>
      </c>
      <c r="I44" s="24" t="s">
        <v>36</v>
      </c>
      <c r="J44" s="12"/>
      <c r="K44" s="12" t="str">
        <f>"285,0"</f>
        <v>285,0</v>
      </c>
      <c r="L44" s="12" t="str">
        <f>"160,1415"</f>
        <v>160,1415</v>
      </c>
      <c r="M44" s="11" t="s">
        <v>93</v>
      </c>
    </row>
    <row r="45" spans="1:13">
      <c r="A45" s="14" t="s">
        <v>168</v>
      </c>
      <c r="B45" s="13" t="s">
        <v>1119</v>
      </c>
      <c r="C45" s="13" t="s">
        <v>1120</v>
      </c>
      <c r="D45" s="13" t="s">
        <v>1121</v>
      </c>
      <c r="E45" s="13" t="s">
        <v>1623</v>
      </c>
      <c r="F45" s="13" t="s">
        <v>1594</v>
      </c>
      <c r="G45" s="27" t="s">
        <v>31</v>
      </c>
      <c r="H45" s="26" t="s">
        <v>535</v>
      </c>
      <c r="I45" s="26" t="s">
        <v>535</v>
      </c>
      <c r="J45" s="14"/>
      <c r="K45" s="14" t="str">
        <f>"275,0"</f>
        <v>275,0</v>
      </c>
      <c r="L45" s="14" t="str">
        <f>"155,2100"</f>
        <v>155,2100</v>
      </c>
      <c r="M45" s="13" t="s">
        <v>1122</v>
      </c>
    </row>
    <row r="46" spans="1:13">
      <c r="B46" s="5" t="s">
        <v>166</v>
      </c>
    </row>
    <row r="47" spans="1:13" ht="16">
      <c r="A47" s="48" t="s">
        <v>330</v>
      </c>
      <c r="B47" s="48"/>
      <c r="C47" s="48"/>
      <c r="D47" s="48"/>
      <c r="E47" s="48"/>
      <c r="F47" s="48"/>
      <c r="G47" s="48"/>
      <c r="H47" s="48"/>
      <c r="I47" s="48"/>
      <c r="J47" s="48"/>
    </row>
    <row r="48" spans="1:13">
      <c r="A48" s="8" t="s">
        <v>165</v>
      </c>
      <c r="B48" s="7" t="s">
        <v>1123</v>
      </c>
      <c r="C48" s="7" t="s">
        <v>1124</v>
      </c>
      <c r="D48" s="7" t="s">
        <v>1125</v>
      </c>
      <c r="E48" s="7" t="s">
        <v>1623</v>
      </c>
      <c r="F48" s="7" t="s">
        <v>1595</v>
      </c>
      <c r="G48" s="21" t="s">
        <v>83</v>
      </c>
      <c r="H48" s="21" t="s">
        <v>113</v>
      </c>
      <c r="I48" s="20" t="s">
        <v>312</v>
      </c>
      <c r="J48" s="8"/>
      <c r="K48" s="8" t="str">
        <f>"350,0"</f>
        <v>350,0</v>
      </c>
      <c r="L48" s="8" t="str">
        <f>"194,7050"</f>
        <v>194,7050</v>
      </c>
      <c r="M48" s="7" t="s">
        <v>264</v>
      </c>
    </row>
    <row r="49" spans="2:6">
      <c r="B49" s="5" t="s">
        <v>166</v>
      </c>
    </row>
    <row r="52" spans="2:6" ht="18">
      <c r="B52" s="15" t="s">
        <v>141</v>
      </c>
      <c r="C52" s="15"/>
    </row>
    <row r="53" spans="2:6" ht="16">
      <c r="B53" s="16" t="s">
        <v>150</v>
      </c>
      <c r="C53" s="16"/>
    </row>
    <row r="54" spans="2:6" ht="14">
      <c r="B54" s="17"/>
      <c r="C54" s="18" t="s">
        <v>143</v>
      </c>
    </row>
    <row r="55" spans="2:6" ht="14">
      <c r="B55" s="19" t="s">
        <v>144</v>
      </c>
      <c r="C55" s="19" t="s">
        <v>145</v>
      </c>
      <c r="D55" s="19" t="s">
        <v>1430</v>
      </c>
      <c r="E55" s="19" t="s">
        <v>582</v>
      </c>
      <c r="F55" s="19" t="s">
        <v>148</v>
      </c>
    </row>
    <row r="56" spans="2:6">
      <c r="B56" s="5" t="s">
        <v>78</v>
      </c>
      <c r="C56" s="5" t="s">
        <v>143</v>
      </c>
      <c r="D56" s="6" t="s">
        <v>163</v>
      </c>
      <c r="E56" s="6" t="s">
        <v>81</v>
      </c>
      <c r="F56" s="6" t="s">
        <v>1126</v>
      </c>
    </row>
    <row r="57" spans="2:6">
      <c r="B57" s="5" t="s">
        <v>23</v>
      </c>
      <c r="C57" s="5" t="s">
        <v>143</v>
      </c>
      <c r="D57" s="6" t="s">
        <v>158</v>
      </c>
      <c r="E57" s="6" t="s">
        <v>31</v>
      </c>
      <c r="F57" s="6" t="s">
        <v>1127</v>
      </c>
    </row>
    <row r="58" spans="2:6">
      <c r="B58" s="5" t="s">
        <v>1123</v>
      </c>
      <c r="C58" s="5" t="s">
        <v>143</v>
      </c>
      <c r="D58" s="6" t="s">
        <v>337</v>
      </c>
      <c r="E58" s="6" t="s">
        <v>113</v>
      </c>
      <c r="F58" s="6" t="s">
        <v>1128</v>
      </c>
    </row>
  </sheetData>
  <mergeCells count="22">
    <mergeCell ref="A33:J33"/>
    <mergeCell ref="A38:J38"/>
    <mergeCell ref="A42:J42"/>
    <mergeCell ref="A47:J47"/>
    <mergeCell ref="B3:B4"/>
    <mergeCell ref="A8:J8"/>
    <mergeCell ref="A11:J11"/>
    <mergeCell ref="A14:J14"/>
    <mergeCell ref="A17:J17"/>
    <mergeCell ref="A22:J22"/>
    <mergeCell ref="A26:J26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9"/>
  <sheetViews>
    <sheetView tabSelected="1" topLeftCell="A56" zoomScaleNormal="100" workbookViewId="0">
      <selection activeCell="E86" sqref="E86"/>
    </sheetView>
  </sheetViews>
  <sheetFormatPr baseColWidth="10" defaultColWidth="9.1640625" defaultRowHeight="13"/>
  <cols>
    <col min="1" max="1" width="7.5" style="5" bestFit="1" customWidth="1"/>
    <col min="2" max="2" width="23.6640625" style="5" bestFit="1" customWidth="1"/>
    <col min="3" max="3" width="29" style="5" bestFit="1" customWidth="1"/>
    <col min="4" max="4" width="21.5" style="5" bestFit="1" customWidth="1"/>
    <col min="5" max="5" width="14.5" style="5" customWidth="1"/>
    <col min="6" max="6" width="19.1640625" style="5" bestFit="1" customWidth="1"/>
    <col min="7" max="9" width="5.5" style="6" customWidth="1"/>
    <col min="10" max="10" width="4.83203125" style="6" customWidth="1"/>
    <col min="11" max="11" width="13" style="6" customWidth="1"/>
    <col min="12" max="12" width="7.5" style="6" bestFit="1" customWidth="1"/>
    <col min="13" max="13" width="21.33203125" style="5" customWidth="1"/>
    <col min="14" max="16384" width="9.1640625" style="3"/>
  </cols>
  <sheetData>
    <row r="1" spans="1:13" s="2" customFormat="1" ht="29" customHeight="1">
      <c r="A1" s="35" t="s">
        <v>1487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1488</v>
      </c>
      <c r="B3" s="55" t="s">
        <v>0</v>
      </c>
      <c r="C3" s="45" t="s">
        <v>1620</v>
      </c>
      <c r="D3" s="45" t="s">
        <v>5</v>
      </c>
      <c r="E3" s="47" t="s">
        <v>1621</v>
      </c>
      <c r="F3" s="47" t="s">
        <v>6</v>
      </c>
      <c r="G3" s="47" t="s">
        <v>1297</v>
      </c>
      <c r="H3" s="47"/>
      <c r="I3" s="47"/>
      <c r="J3" s="47"/>
      <c r="K3" s="47" t="s">
        <v>587</v>
      </c>
      <c r="L3" s="47" t="s">
        <v>3</v>
      </c>
      <c r="M3" s="51" t="s">
        <v>2</v>
      </c>
    </row>
    <row r="4" spans="1:13" s="1" customFormat="1" ht="21" customHeight="1" thickBot="1">
      <c r="A4" s="44"/>
      <c r="B4" s="56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46"/>
      <c r="L4" s="46"/>
      <c r="M4" s="52"/>
    </row>
    <row r="5" spans="1:13" ht="16">
      <c r="A5" s="53" t="s">
        <v>171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10" t="s">
        <v>165</v>
      </c>
      <c r="B6" s="9" t="s">
        <v>1298</v>
      </c>
      <c r="C6" s="9" t="s">
        <v>1299</v>
      </c>
      <c r="D6" s="9" t="s">
        <v>174</v>
      </c>
      <c r="E6" s="9" t="s">
        <v>1623</v>
      </c>
      <c r="F6" s="9" t="s">
        <v>1489</v>
      </c>
      <c r="G6" s="22" t="s">
        <v>711</v>
      </c>
      <c r="H6" s="22" t="s">
        <v>1275</v>
      </c>
      <c r="I6" s="10"/>
      <c r="J6" s="10"/>
      <c r="K6" s="10" t="str">
        <f>"30,0"</f>
        <v>30,0</v>
      </c>
      <c r="L6" s="10" t="str">
        <f>"32,1480"</f>
        <v>32,1480</v>
      </c>
      <c r="M6" s="9" t="s">
        <v>264</v>
      </c>
    </row>
    <row r="7" spans="1:13">
      <c r="A7" s="14" t="s">
        <v>167</v>
      </c>
      <c r="B7" s="13" t="s">
        <v>1270</v>
      </c>
      <c r="C7" s="13" t="s">
        <v>1271</v>
      </c>
      <c r="D7" s="13" t="s">
        <v>365</v>
      </c>
      <c r="E7" s="13" t="s">
        <v>1623</v>
      </c>
      <c r="F7" s="13" t="s">
        <v>1501</v>
      </c>
      <c r="G7" s="27" t="s">
        <v>711</v>
      </c>
      <c r="H7" s="26" t="s">
        <v>1275</v>
      </c>
      <c r="I7" s="26" t="s">
        <v>1275</v>
      </c>
      <c r="J7" s="14"/>
      <c r="K7" s="14" t="str">
        <f>"27,5"</f>
        <v>27,5</v>
      </c>
      <c r="L7" s="14" t="str">
        <f>"28,7073"</f>
        <v>28,7073</v>
      </c>
      <c r="M7" s="13" t="s">
        <v>1272</v>
      </c>
    </row>
    <row r="8" spans="1:13">
      <c r="B8" s="5" t="s">
        <v>166</v>
      </c>
    </row>
    <row r="9" spans="1:13" ht="16">
      <c r="A9" s="48" t="s">
        <v>22</v>
      </c>
      <c r="B9" s="48"/>
      <c r="C9" s="48"/>
      <c r="D9" s="48"/>
      <c r="E9" s="48"/>
      <c r="F9" s="48"/>
      <c r="G9" s="48"/>
      <c r="H9" s="48"/>
      <c r="I9" s="48"/>
      <c r="J9" s="48"/>
    </row>
    <row r="10" spans="1:13">
      <c r="A10" s="8" t="s">
        <v>165</v>
      </c>
      <c r="B10" s="7" t="s">
        <v>1300</v>
      </c>
      <c r="C10" s="7" t="s">
        <v>1301</v>
      </c>
      <c r="D10" s="7" t="s">
        <v>1302</v>
      </c>
      <c r="E10" s="7" t="s">
        <v>1623</v>
      </c>
      <c r="F10" s="7" t="s">
        <v>1606</v>
      </c>
      <c r="G10" s="21" t="s">
        <v>361</v>
      </c>
      <c r="H10" s="21" t="s">
        <v>177</v>
      </c>
      <c r="I10" s="20" t="s">
        <v>178</v>
      </c>
      <c r="J10" s="8"/>
      <c r="K10" s="8" t="str">
        <f>"37,5"</f>
        <v>37,5</v>
      </c>
      <c r="L10" s="8" t="str">
        <f>"31,9013"</f>
        <v>31,9013</v>
      </c>
      <c r="M10" s="7" t="s">
        <v>264</v>
      </c>
    </row>
    <row r="11" spans="1:13">
      <c r="B11" s="5" t="s">
        <v>166</v>
      </c>
    </row>
    <row r="12" spans="1:13" ht="16">
      <c r="A12" s="48" t="s">
        <v>10</v>
      </c>
      <c r="B12" s="48"/>
      <c r="C12" s="48"/>
      <c r="D12" s="48"/>
      <c r="E12" s="48"/>
      <c r="F12" s="48"/>
      <c r="G12" s="48"/>
      <c r="H12" s="48"/>
      <c r="I12" s="48"/>
      <c r="J12" s="48"/>
    </row>
    <row r="13" spans="1:13">
      <c r="A13" s="8" t="s">
        <v>165</v>
      </c>
      <c r="B13" s="7" t="s">
        <v>1303</v>
      </c>
      <c r="C13" s="7" t="s">
        <v>1304</v>
      </c>
      <c r="D13" s="7" t="s">
        <v>1305</v>
      </c>
      <c r="E13" s="7" t="s">
        <v>1623</v>
      </c>
      <c r="F13" s="7" t="s">
        <v>1490</v>
      </c>
      <c r="G13" s="21" t="s">
        <v>361</v>
      </c>
      <c r="H13" s="20" t="s">
        <v>177</v>
      </c>
      <c r="I13" s="20" t="s">
        <v>177</v>
      </c>
      <c r="J13" s="8"/>
      <c r="K13" s="8" t="str">
        <f>"35,0"</f>
        <v>35,0</v>
      </c>
      <c r="L13" s="8" t="str">
        <f>"28,2415"</f>
        <v>28,2415</v>
      </c>
      <c r="M13" s="7" t="s">
        <v>1306</v>
      </c>
    </row>
    <row r="14" spans="1:13">
      <c r="B14" s="5" t="s">
        <v>166</v>
      </c>
    </row>
    <row r="15" spans="1:13" ht="16">
      <c r="A15" s="48" t="s">
        <v>421</v>
      </c>
      <c r="B15" s="48"/>
      <c r="C15" s="48"/>
      <c r="D15" s="48"/>
      <c r="E15" s="48"/>
      <c r="F15" s="48"/>
      <c r="G15" s="48"/>
      <c r="H15" s="48"/>
      <c r="I15" s="48"/>
      <c r="J15" s="48"/>
    </row>
    <row r="16" spans="1:13">
      <c r="A16" s="10" t="s">
        <v>165</v>
      </c>
      <c r="B16" s="9" t="s">
        <v>1273</v>
      </c>
      <c r="C16" s="9" t="s">
        <v>1442</v>
      </c>
      <c r="D16" s="9" t="s">
        <v>1274</v>
      </c>
      <c r="E16" s="9" t="s">
        <v>1626</v>
      </c>
      <c r="F16" s="9" t="s">
        <v>1596</v>
      </c>
      <c r="G16" s="22" t="s">
        <v>361</v>
      </c>
      <c r="H16" s="22" t="s">
        <v>178</v>
      </c>
      <c r="I16" s="23" t="s">
        <v>349</v>
      </c>
      <c r="J16" s="10"/>
      <c r="K16" s="10" t="str">
        <f>"40,0"</f>
        <v>40,0</v>
      </c>
      <c r="L16" s="10" t="str">
        <f>"28,2360"</f>
        <v>28,2360</v>
      </c>
      <c r="M16" s="9" t="s">
        <v>1276</v>
      </c>
    </row>
    <row r="17" spans="1:13">
      <c r="A17" s="14" t="s">
        <v>165</v>
      </c>
      <c r="B17" s="13" t="s">
        <v>1273</v>
      </c>
      <c r="C17" s="13" t="s">
        <v>1277</v>
      </c>
      <c r="D17" s="13" t="s">
        <v>1274</v>
      </c>
      <c r="E17" s="13" t="s">
        <v>1623</v>
      </c>
      <c r="F17" s="13" t="s">
        <v>1596</v>
      </c>
      <c r="G17" s="27" t="s">
        <v>361</v>
      </c>
      <c r="H17" s="27" t="s">
        <v>178</v>
      </c>
      <c r="I17" s="26" t="s">
        <v>349</v>
      </c>
      <c r="J17" s="14"/>
      <c r="K17" s="14" t="str">
        <f>"40,0"</f>
        <v>40,0</v>
      </c>
      <c r="L17" s="14" t="str">
        <f>"28,2360"</f>
        <v>28,2360</v>
      </c>
      <c r="M17" s="13" t="s">
        <v>1276</v>
      </c>
    </row>
    <row r="18" spans="1:13">
      <c r="B18" s="5" t="s">
        <v>166</v>
      </c>
    </row>
    <row r="19" spans="1:13" ht="16">
      <c r="A19" s="48" t="s">
        <v>356</v>
      </c>
      <c r="B19" s="48"/>
      <c r="C19" s="48"/>
      <c r="D19" s="48"/>
      <c r="E19" s="48"/>
      <c r="F19" s="48"/>
      <c r="G19" s="48"/>
      <c r="H19" s="48"/>
      <c r="I19" s="48"/>
      <c r="J19" s="48"/>
    </row>
    <row r="20" spans="1:13">
      <c r="A20" s="8" t="s">
        <v>165</v>
      </c>
      <c r="B20" s="7" t="s">
        <v>1307</v>
      </c>
      <c r="C20" s="7" t="s">
        <v>1308</v>
      </c>
      <c r="D20" s="7" t="s">
        <v>359</v>
      </c>
      <c r="E20" s="7" t="s">
        <v>1623</v>
      </c>
      <c r="F20" s="7" t="s">
        <v>1595</v>
      </c>
      <c r="G20" s="21" t="s">
        <v>1309</v>
      </c>
      <c r="H20" s="21" t="s">
        <v>349</v>
      </c>
      <c r="I20" s="20" t="s">
        <v>1246</v>
      </c>
      <c r="J20" s="8"/>
      <c r="K20" s="8" t="str">
        <f>"45,0"</f>
        <v>45,0</v>
      </c>
      <c r="L20" s="8" t="str">
        <f>"44,0505"</f>
        <v>44,0505</v>
      </c>
      <c r="M20" s="7" t="s">
        <v>1310</v>
      </c>
    </row>
    <row r="21" spans="1:13">
      <c r="B21" s="5" t="s">
        <v>166</v>
      </c>
    </row>
    <row r="22" spans="1:13" ht="16">
      <c r="A22" s="48" t="s">
        <v>171</v>
      </c>
      <c r="B22" s="48"/>
      <c r="C22" s="48"/>
      <c r="D22" s="48"/>
      <c r="E22" s="48"/>
      <c r="F22" s="48"/>
      <c r="G22" s="48"/>
      <c r="H22" s="48"/>
      <c r="I22" s="48"/>
      <c r="J22" s="48"/>
    </row>
    <row r="23" spans="1:13">
      <c r="A23" s="8" t="s">
        <v>165</v>
      </c>
      <c r="B23" s="7" t="s">
        <v>1278</v>
      </c>
      <c r="C23" s="7" t="s">
        <v>1443</v>
      </c>
      <c r="D23" s="7" t="s">
        <v>1279</v>
      </c>
      <c r="E23" s="7" t="s">
        <v>1630</v>
      </c>
      <c r="F23" s="7" t="s">
        <v>1596</v>
      </c>
      <c r="G23" s="21" t="s">
        <v>349</v>
      </c>
      <c r="H23" s="21" t="s">
        <v>366</v>
      </c>
      <c r="I23" s="20" t="s">
        <v>716</v>
      </c>
      <c r="J23" s="8"/>
      <c r="K23" s="8" t="str">
        <f>"50,0"</f>
        <v>50,0</v>
      </c>
      <c r="L23" s="8" t="str">
        <f>"47,3200"</f>
        <v>47,3200</v>
      </c>
      <c r="M23" s="7" t="s">
        <v>1276</v>
      </c>
    </row>
    <row r="24" spans="1:13">
      <c r="B24" s="5" t="s">
        <v>166</v>
      </c>
    </row>
    <row r="25" spans="1:13" ht="16">
      <c r="A25" s="48" t="s">
        <v>183</v>
      </c>
      <c r="B25" s="48"/>
      <c r="C25" s="48"/>
      <c r="D25" s="48"/>
      <c r="E25" s="48"/>
      <c r="F25" s="48"/>
      <c r="G25" s="48"/>
      <c r="H25" s="48"/>
      <c r="I25" s="48"/>
      <c r="J25" s="48"/>
    </row>
    <row r="26" spans="1:13">
      <c r="A26" s="10" t="s">
        <v>165</v>
      </c>
      <c r="B26" s="9" t="s">
        <v>1311</v>
      </c>
      <c r="C26" s="9" t="s">
        <v>1444</v>
      </c>
      <c r="D26" s="9" t="s">
        <v>385</v>
      </c>
      <c r="E26" s="9" t="s">
        <v>1630</v>
      </c>
      <c r="F26" s="9" t="s">
        <v>1596</v>
      </c>
      <c r="G26" s="22" t="s">
        <v>176</v>
      </c>
      <c r="H26" s="22" t="s">
        <v>178</v>
      </c>
      <c r="I26" s="23" t="s">
        <v>349</v>
      </c>
      <c r="J26" s="10"/>
      <c r="K26" s="10" t="str">
        <f>"40,0"</f>
        <v>40,0</v>
      </c>
      <c r="L26" s="10" t="str">
        <f>"33,3680"</f>
        <v>33,3680</v>
      </c>
      <c r="M26" s="9" t="s">
        <v>1276</v>
      </c>
    </row>
    <row r="27" spans="1:13">
      <c r="A27" s="12" t="s">
        <v>165</v>
      </c>
      <c r="B27" s="11" t="s">
        <v>1312</v>
      </c>
      <c r="C27" s="11" t="s">
        <v>1313</v>
      </c>
      <c r="D27" s="11" t="s">
        <v>390</v>
      </c>
      <c r="E27" s="11" t="s">
        <v>1623</v>
      </c>
      <c r="F27" s="11" t="s">
        <v>1509</v>
      </c>
      <c r="G27" s="25" t="s">
        <v>386</v>
      </c>
      <c r="H27" s="25" t="s">
        <v>175</v>
      </c>
      <c r="I27" s="24" t="s">
        <v>396</v>
      </c>
      <c r="J27" s="12"/>
      <c r="K27" s="12" t="str">
        <f>"60,0"</f>
        <v>60,0</v>
      </c>
      <c r="L27" s="12" t="str">
        <f>"50,5470"</f>
        <v>50,5470</v>
      </c>
      <c r="M27" s="11" t="s">
        <v>264</v>
      </c>
    </row>
    <row r="28" spans="1:13">
      <c r="A28" s="14" t="s">
        <v>165</v>
      </c>
      <c r="B28" s="13" t="s">
        <v>1312</v>
      </c>
      <c r="C28" s="13" t="s">
        <v>1445</v>
      </c>
      <c r="D28" s="13" t="s">
        <v>390</v>
      </c>
      <c r="E28" s="13" t="s">
        <v>1624</v>
      </c>
      <c r="F28" s="13" t="s">
        <v>1509</v>
      </c>
      <c r="G28" s="27" t="s">
        <v>386</v>
      </c>
      <c r="H28" s="27" t="s">
        <v>175</v>
      </c>
      <c r="I28" s="26" t="s">
        <v>396</v>
      </c>
      <c r="J28" s="14"/>
      <c r="K28" s="14" t="str">
        <f>"60,0"</f>
        <v>60,0</v>
      </c>
      <c r="L28" s="14" t="str">
        <f>"53,3271"</f>
        <v>53,3271</v>
      </c>
      <c r="M28" s="13" t="s">
        <v>264</v>
      </c>
    </row>
    <row r="29" spans="1:13">
      <c r="B29" s="5" t="s">
        <v>166</v>
      </c>
    </row>
    <row r="30" spans="1:13" ht="16">
      <c r="A30" s="48" t="s">
        <v>191</v>
      </c>
      <c r="B30" s="48"/>
      <c r="C30" s="48"/>
      <c r="D30" s="48"/>
      <c r="E30" s="48"/>
      <c r="F30" s="48"/>
      <c r="G30" s="48"/>
      <c r="H30" s="48"/>
      <c r="I30" s="48"/>
      <c r="J30" s="48"/>
    </row>
    <row r="31" spans="1:13">
      <c r="A31" s="10" t="s">
        <v>165</v>
      </c>
      <c r="B31" s="9" t="s">
        <v>1089</v>
      </c>
      <c r="C31" s="9" t="s">
        <v>1446</v>
      </c>
      <c r="D31" s="9" t="s">
        <v>1091</v>
      </c>
      <c r="E31" s="9" t="s">
        <v>1630</v>
      </c>
      <c r="F31" s="9" t="s">
        <v>1575</v>
      </c>
      <c r="G31" s="22" t="s">
        <v>354</v>
      </c>
      <c r="H31" s="22" t="s">
        <v>366</v>
      </c>
      <c r="I31" s="22" t="s">
        <v>716</v>
      </c>
      <c r="J31" s="10"/>
      <c r="K31" s="10" t="str">
        <f>"52,5"</f>
        <v>52,5</v>
      </c>
      <c r="L31" s="10" t="str">
        <f>"40,9920"</f>
        <v>40,9920</v>
      </c>
      <c r="M31" s="9" t="s">
        <v>264</v>
      </c>
    </row>
    <row r="32" spans="1:13">
      <c r="A32" s="12" t="s">
        <v>167</v>
      </c>
      <c r="B32" s="11" t="s">
        <v>1314</v>
      </c>
      <c r="C32" s="11" t="s">
        <v>1447</v>
      </c>
      <c r="D32" s="11" t="s">
        <v>1315</v>
      </c>
      <c r="E32" s="11" t="s">
        <v>1630</v>
      </c>
      <c r="F32" s="11" t="s">
        <v>1596</v>
      </c>
      <c r="G32" s="25" t="s">
        <v>354</v>
      </c>
      <c r="H32" s="24" t="s">
        <v>366</v>
      </c>
      <c r="I32" s="25" t="s">
        <v>366</v>
      </c>
      <c r="J32" s="12"/>
      <c r="K32" s="12" t="str">
        <f>"50,0"</f>
        <v>50,0</v>
      </c>
      <c r="L32" s="12" t="str">
        <f>"37,4675"</f>
        <v>37,4675</v>
      </c>
      <c r="M32" s="11" t="s">
        <v>264</v>
      </c>
    </row>
    <row r="33" spans="1:13">
      <c r="A33" s="12" t="s">
        <v>168</v>
      </c>
      <c r="B33" s="11" t="s">
        <v>777</v>
      </c>
      <c r="C33" s="11" t="s">
        <v>1440</v>
      </c>
      <c r="D33" s="11" t="s">
        <v>194</v>
      </c>
      <c r="E33" s="11" t="s">
        <v>1630</v>
      </c>
      <c r="F33" s="11" t="s">
        <v>1490</v>
      </c>
      <c r="G33" s="25" t="s">
        <v>361</v>
      </c>
      <c r="H33" s="25" t="s">
        <v>177</v>
      </c>
      <c r="I33" s="24" t="s">
        <v>178</v>
      </c>
      <c r="J33" s="12"/>
      <c r="K33" s="12" t="str">
        <f>"37,5"</f>
        <v>37,5</v>
      </c>
      <c r="L33" s="12" t="str">
        <f>"28,5356"</f>
        <v>28,5356</v>
      </c>
      <c r="M33" s="11" t="s">
        <v>779</v>
      </c>
    </row>
    <row r="34" spans="1:13">
      <c r="A34" s="14" t="s">
        <v>165</v>
      </c>
      <c r="B34" s="13" t="s">
        <v>1296</v>
      </c>
      <c r="C34" s="13" t="s">
        <v>1448</v>
      </c>
      <c r="D34" s="13" t="s">
        <v>399</v>
      </c>
      <c r="E34" s="13" t="s">
        <v>1624</v>
      </c>
      <c r="F34" s="13" t="s">
        <v>1597</v>
      </c>
      <c r="G34" s="27" t="s">
        <v>175</v>
      </c>
      <c r="H34" s="27" t="s">
        <v>1316</v>
      </c>
      <c r="I34" s="26" t="s">
        <v>16</v>
      </c>
      <c r="J34" s="14"/>
      <c r="K34" s="14" t="str">
        <f>"63,0"</f>
        <v>63,0</v>
      </c>
      <c r="L34" s="14" t="str">
        <f>"48,0922"</f>
        <v>48,0922</v>
      </c>
      <c r="M34" s="13" t="s">
        <v>264</v>
      </c>
    </row>
    <row r="35" spans="1:13">
      <c r="B35" s="5" t="s">
        <v>166</v>
      </c>
    </row>
    <row r="36" spans="1:13" ht="16">
      <c r="A36" s="48" t="s">
        <v>22</v>
      </c>
      <c r="B36" s="48"/>
      <c r="C36" s="48"/>
      <c r="D36" s="48"/>
      <c r="E36" s="48"/>
      <c r="F36" s="48"/>
      <c r="G36" s="48"/>
      <c r="H36" s="48"/>
      <c r="I36" s="48"/>
      <c r="J36" s="48"/>
    </row>
    <row r="37" spans="1:13">
      <c r="A37" s="10" t="s">
        <v>165</v>
      </c>
      <c r="B37" s="9" t="s">
        <v>1317</v>
      </c>
      <c r="C37" s="9" t="s">
        <v>1449</v>
      </c>
      <c r="D37" s="9" t="s">
        <v>1295</v>
      </c>
      <c r="E37" s="9" t="s">
        <v>1630</v>
      </c>
      <c r="F37" s="9" t="s">
        <v>1490</v>
      </c>
      <c r="G37" s="22" t="s">
        <v>386</v>
      </c>
      <c r="H37" s="23" t="s">
        <v>396</v>
      </c>
      <c r="I37" s="23" t="s">
        <v>396</v>
      </c>
      <c r="J37" s="10"/>
      <c r="K37" s="10" t="str">
        <f>"57,5"</f>
        <v>57,5</v>
      </c>
      <c r="L37" s="10" t="str">
        <f>"40,1523"</f>
        <v>40,1523</v>
      </c>
      <c r="M37" s="9" t="s">
        <v>264</v>
      </c>
    </row>
    <row r="38" spans="1:13">
      <c r="A38" s="12" t="s">
        <v>167</v>
      </c>
      <c r="B38" s="11" t="s">
        <v>1318</v>
      </c>
      <c r="C38" s="11" t="s">
        <v>1450</v>
      </c>
      <c r="D38" s="11" t="s">
        <v>1319</v>
      </c>
      <c r="E38" s="11" t="s">
        <v>1630</v>
      </c>
      <c r="F38" s="11" t="s">
        <v>1490</v>
      </c>
      <c r="G38" s="24" t="s">
        <v>354</v>
      </c>
      <c r="H38" s="25" t="s">
        <v>354</v>
      </c>
      <c r="I38" s="24" t="s">
        <v>188</v>
      </c>
      <c r="J38" s="12"/>
      <c r="K38" s="12" t="str">
        <f>"47,5"</f>
        <v>47,5</v>
      </c>
      <c r="L38" s="12" t="str">
        <f>"34,5373"</f>
        <v>34,5373</v>
      </c>
      <c r="M38" s="11" t="s">
        <v>1276</v>
      </c>
    </row>
    <row r="39" spans="1:13">
      <c r="A39" s="12" t="s">
        <v>165</v>
      </c>
      <c r="B39" s="11" t="s">
        <v>1294</v>
      </c>
      <c r="C39" s="11" t="s">
        <v>1451</v>
      </c>
      <c r="D39" s="11" t="s">
        <v>1295</v>
      </c>
      <c r="E39" s="11" t="s">
        <v>1626</v>
      </c>
      <c r="F39" s="11" t="s">
        <v>1490</v>
      </c>
      <c r="G39" s="25" t="s">
        <v>18</v>
      </c>
      <c r="H39" s="25" t="s">
        <v>179</v>
      </c>
      <c r="I39" s="25" t="s">
        <v>724</v>
      </c>
      <c r="J39" s="12"/>
      <c r="K39" s="12" t="str">
        <f>"82,5"</f>
        <v>82,5</v>
      </c>
      <c r="L39" s="12" t="str">
        <f>"57,6098"</f>
        <v>57,6098</v>
      </c>
      <c r="M39" s="11" t="s">
        <v>264</v>
      </c>
    </row>
    <row r="40" spans="1:13">
      <c r="A40" s="12" t="s">
        <v>167</v>
      </c>
      <c r="B40" s="11" t="s">
        <v>1320</v>
      </c>
      <c r="C40" s="11" t="s">
        <v>1452</v>
      </c>
      <c r="D40" s="11" t="s">
        <v>443</v>
      </c>
      <c r="E40" s="11" t="s">
        <v>1626</v>
      </c>
      <c r="F40" s="11" t="s">
        <v>1598</v>
      </c>
      <c r="G40" s="25" t="s">
        <v>178</v>
      </c>
      <c r="H40" s="25" t="s">
        <v>349</v>
      </c>
      <c r="I40" s="24" t="s">
        <v>354</v>
      </c>
      <c r="J40" s="12"/>
      <c r="K40" s="12" t="str">
        <f>"45,0"</f>
        <v>45,0</v>
      </c>
      <c r="L40" s="12" t="str">
        <f>"31,9928"</f>
        <v>31,9928</v>
      </c>
      <c r="M40" s="11" t="s">
        <v>1321</v>
      </c>
    </row>
    <row r="41" spans="1:13">
      <c r="A41" s="12" t="s">
        <v>165</v>
      </c>
      <c r="B41" s="11" t="s">
        <v>1322</v>
      </c>
      <c r="C41" s="11" t="s">
        <v>714</v>
      </c>
      <c r="D41" s="11" t="s">
        <v>1323</v>
      </c>
      <c r="E41" s="11" t="s">
        <v>1623</v>
      </c>
      <c r="F41" s="11" t="s">
        <v>1534</v>
      </c>
      <c r="G41" s="25" t="s">
        <v>432</v>
      </c>
      <c r="H41" s="25" t="s">
        <v>371</v>
      </c>
      <c r="I41" s="25" t="s">
        <v>18</v>
      </c>
      <c r="J41" s="12"/>
      <c r="K41" s="12" t="str">
        <f>"75,0"</f>
        <v>75,0</v>
      </c>
      <c r="L41" s="12" t="str">
        <f>"52,9237"</f>
        <v>52,9237</v>
      </c>
      <c r="M41" s="11" t="s">
        <v>264</v>
      </c>
    </row>
    <row r="42" spans="1:13">
      <c r="A42" s="12" t="s">
        <v>167</v>
      </c>
      <c r="B42" s="11" t="s">
        <v>830</v>
      </c>
      <c r="C42" s="11" t="s">
        <v>831</v>
      </c>
      <c r="D42" s="11" t="s">
        <v>1257</v>
      </c>
      <c r="E42" s="11" t="s">
        <v>1623</v>
      </c>
      <c r="F42" s="11" t="s">
        <v>1549</v>
      </c>
      <c r="G42" s="25" t="s">
        <v>17</v>
      </c>
      <c r="H42" s="25" t="s">
        <v>371</v>
      </c>
      <c r="I42" s="24" t="s">
        <v>18</v>
      </c>
      <c r="J42" s="12"/>
      <c r="K42" s="12" t="str">
        <f>"72,5"</f>
        <v>72,5</v>
      </c>
      <c r="L42" s="12" t="str">
        <f>"50,0685"</f>
        <v>50,0685</v>
      </c>
      <c r="M42" s="11" t="s">
        <v>207</v>
      </c>
    </row>
    <row r="43" spans="1:13">
      <c r="A43" s="12" t="s">
        <v>168</v>
      </c>
      <c r="B43" s="11" t="s">
        <v>1324</v>
      </c>
      <c r="C43" s="11" t="s">
        <v>1325</v>
      </c>
      <c r="D43" s="11" t="s">
        <v>1257</v>
      </c>
      <c r="E43" s="11" t="s">
        <v>1623</v>
      </c>
      <c r="F43" s="11" t="s">
        <v>1599</v>
      </c>
      <c r="G43" s="25" t="s">
        <v>16</v>
      </c>
      <c r="H43" s="25" t="s">
        <v>17</v>
      </c>
      <c r="I43" s="24" t="s">
        <v>371</v>
      </c>
      <c r="J43" s="12"/>
      <c r="K43" s="12" t="str">
        <f>"70,0"</f>
        <v>70,0</v>
      </c>
      <c r="L43" s="12" t="str">
        <f>"48,3420"</f>
        <v>48,3420</v>
      </c>
      <c r="M43" s="11" t="s">
        <v>264</v>
      </c>
    </row>
    <row r="44" spans="1:13">
      <c r="A44" s="12" t="s">
        <v>170</v>
      </c>
      <c r="B44" s="11" t="s">
        <v>1326</v>
      </c>
      <c r="C44" s="11" t="s">
        <v>1327</v>
      </c>
      <c r="D44" s="11" t="s">
        <v>829</v>
      </c>
      <c r="E44" s="11" t="s">
        <v>1623</v>
      </c>
      <c r="F44" s="11" t="s">
        <v>1596</v>
      </c>
      <c r="G44" s="24" t="s">
        <v>396</v>
      </c>
      <c r="H44" s="25" t="s">
        <v>396</v>
      </c>
      <c r="I44" s="24" t="s">
        <v>17</v>
      </c>
      <c r="J44" s="12"/>
      <c r="K44" s="12" t="str">
        <f>"62,5"</f>
        <v>62,5</v>
      </c>
      <c r="L44" s="12" t="str">
        <f>"43,5094"</f>
        <v>43,5094</v>
      </c>
      <c r="M44" s="11" t="s">
        <v>264</v>
      </c>
    </row>
    <row r="45" spans="1:13">
      <c r="A45" s="12" t="s">
        <v>165</v>
      </c>
      <c r="B45" s="11" t="s">
        <v>1328</v>
      </c>
      <c r="C45" s="11" t="s">
        <v>1453</v>
      </c>
      <c r="D45" s="11" t="s">
        <v>826</v>
      </c>
      <c r="E45" s="11" t="s">
        <v>1624</v>
      </c>
      <c r="F45" s="11" t="s">
        <v>1533</v>
      </c>
      <c r="G45" s="25" t="s">
        <v>16</v>
      </c>
      <c r="H45" s="25" t="s">
        <v>432</v>
      </c>
      <c r="I45" s="24" t="s">
        <v>1288</v>
      </c>
      <c r="J45" s="12"/>
      <c r="K45" s="12" t="str">
        <f>"67,5"</f>
        <v>67,5</v>
      </c>
      <c r="L45" s="12" t="str">
        <f>"50,2359"</f>
        <v>50,2359</v>
      </c>
      <c r="M45" s="11" t="s">
        <v>264</v>
      </c>
    </row>
    <row r="46" spans="1:13">
      <c r="A46" s="14" t="s">
        <v>169</v>
      </c>
      <c r="B46" s="13" t="s">
        <v>1329</v>
      </c>
      <c r="C46" s="13" t="s">
        <v>1454</v>
      </c>
      <c r="D46" s="13" t="s">
        <v>263</v>
      </c>
      <c r="E46" s="13" t="s">
        <v>1624</v>
      </c>
      <c r="F46" s="13" t="s">
        <v>1490</v>
      </c>
      <c r="G46" s="26" t="s">
        <v>1288</v>
      </c>
      <c r="H46" s="26" t="s">
        <v>1288</v>
      </c>
      <c r="I46" s="26" t="s">
        <v>1330</v>
      </c>
      <c r="J46" s="14"/>
      <c r="K46" s="14" t="str">
        <f>"0.00"</f>
        <v>0.00</v>
      </c>
      <c r="L46" s="14" t="str">
        <f>"0,0000"</f>
        <v>0,0000</v>
      </c>
      <c r="M46" s="13" t="s">
        <v>264</v>
      </c>
    </row>
    <row r="47" spans="1:13">
      <c r="B47" s="5" t="s">
        <v>166</v>
      </c>
    </row>
    <row r="48" spans="1:13" ht="16">
      <c r="A48" s="48" t="s">
        <v>10</v>
      </c>
      <c r="B48" s="48"/>
      <c r="C48" s="48"/>
      <c r="D48" s="48"/>
      <c r="E48" s="48"/>
      <c r="F48" s="48"/>
      <c r="G48" s="48"/>
      <c r="H48" s="48"/>
      <c r="I48" s="48"/>
      <c r="J48" s="48"/>
    </row>
    <row r="49" spans="1:13">
      <c r="A49" s="10" t="s">
        <v>165</v>
      </c>
      <c r="B49" s="9" t="s">
        <v>1331</v>
      </c>
      <c r="C49" s="9" t="s">
        <v>1455</v>
      </c>
      <c r="D49" s="9" t="s">
        <v>1289</v>
      </c>
      <c r="E49" s="9" t="s">
        <v>1630</v>
      </c>
      <c r="F49" s="9" t="s">
        <v>1539</v>
      </c>
      <c r="G49" s="22" t="s">
        <v>386</v>
      </c>
      <c r="H49" s="22" t="s">
        <v>396</v>
      </c>
      <c r="I49" s="23" t="s">
        <v>16</v>
      </c>
      <c r="J49" s="10"/>
      <c r="K49" s="10" t="str">
        <f>"62,5"</f>
        <v>62,5</v>
      </c>
      <c r="L49" s="10" t="str">
        <f>"41,2531"</f>
        <v>41,2531</v>
      </c>
      <c r="M49" s="9" t="s">
        <v>264</v>
      </c>
    </row>
    <row r="50" spans="1:13">
      <c r="A50" s="12" t="s">
        <v>165</v>
      </c>
      <c r="B50" s="11" t="s">
        <v>606</v>
      </c>
      <c r="C50" s="11" t="s">
        <v>1456</v>
      </c>
      <c r="D50" s="11" t="s">
        <v>608</v>
      </c>
      <c r="E50" s="11" t="s">
        <v>1626</v>
      </c>
      <c r="F50" s="11" t="s">
        <v>1490</v>
      </c>
      <c r="G50" s="25" t="s">
        <v>432</v>
      </c>
      <c r="H50" s="25" t="s">
        <v>371</v>
      </c>
      <c r="I50" s="24" t="s">
        <v>372</v>
      </c>
      <c r="J50" s="12"/>
      <c r="K50" s="12" t="str">
        <f>"72,5"</f>
        <v>72,5</v>
      </c>
      <c r="L50" s="12" t="str">
        <f>"46,9184"</f>
        <v>46,9184</v>
      </c>
      <c r="M50" s="11" t="s">
        <v>609</v>
      </c>
    </row>
    <row r="51" spans="1:13">
      <c r="A51" s="12" t="s">
        <v>165</v>
      </c>
      <c r="B51" s="11" t="s">
        <v>1332</v>
      </c>
      <c r="C51" s="11" t="s">
        <v>1333</v>
      </c>
      <c r="D51" s="11" t="s">
        <v>279</v>
      </c>
      <c r="E51" s="11" t="s">
        <v>1623</v>
      </c>
      <c r="F51" s="11" t="s">
        <v>1565</v>
      </c>
      <c r="G51" s="25" t="s">
        <v>16</v>
      </c>
      <c r="H51" s="25" t="s">
        <v>17</v>
      </c>
      <c r="I51" s="24" t="s">
        <v>18</v>
      </c>
      <c r="J51" s="12"/>
      <c r="K51" s="12" t="str">
        <f>"70,0"</f>
        <v>70,0</v>
      </c>
      <c r="L51" s="12" t="str">
        <f>"46,1650"</f>
        <v>46,1650</v>
      </c>
      <c r="M51" s="11" t="s">
        <v>264</v>
      </c>
    </row>
    <row r="52" spans="1:13">
      <c r="A52" s="12" t="s">
        <v>167</v>
      </c>
      <c r="B52" s="11" t="s">
        <v>1334</v>
      </c>
      <c r="C52" s="11" t="s">
        <v>1335</v>
      </c>
      <c r="D52" s="11" t="s">
        <v>874</v>
      </c>
      <c r="E52" s="11" t="s">
        <v>1623</v>
      </c>
      <c r="F52" s="11" t="s">
        <v>1600</v>
      </c>
      <c r="G52" s="25" t="s">
        <v>175</v>
      </c>
      <c r="H52" s="25" t="s">
        <v>16</v>
      </c>
      <c r="I52" s="24" t="s">
        <v>17</v>
      </c>
      <c r="J52" s="12"/>
      <c r="K52" s="12" t="str">
        <f>"65,0"</f>
        <v>65,0</v>
      </c>
      <c r="L52" s="12" t="str">
        <f>"42,6173"</f>
        <v>42,6173</v>
      </c>
      <c r="M52" s="11" t="s">
        <v>264</v>
      </c>
    </row>
    <row r="53" spans="1:13">
      <c r="A53" s="12" t="s">
        <v>168</v>
      </c>
      <c r="B53" s="11" t="s">
        <v>1336</v>
      </c>
      <c r="C53" s="11" t="s">
        <v>1337</v>
      </c>
      <c r="D53" s="11" t="s">
        <v>275</v>
      </c>
      <c r="E53" s="11" t="s">
        <v>1623</v>
      </c>
      <c r="F53" s="11" t="s">
        <v>1549</v>
      </c>
      <c r="G53" s="25" t="s">
        <v>366</v>
      </c>
      <c r="H53" s="25" t="s">
        <v>386</v>
      </c>
      <c r="I53" s="24" t="s">
        <v>396</v>
      </c>
      <c r="J53" s="12"/>
      <c r="K53" s="12" t="str">
        <f>"57,5"</f>
        <v>57,5</v>
      </c>
      <c r="L53" s="12" t="str">
        <f>"37,5734"</f>
        <v>37,5734</v>
      </c>
      <c r="M53" s="11" t="s">
        <v>1338</v>
      </c>
    </row>
    <row r="54" spans="1:13">
      <c r="A54" s="14" t="s">
        <v>165</v>
      </c>
      <c r="B54" s="13" t="s">
        <v>1280</v>
      </c>
      <c r="C54" s="13" t="s">
        <v>1457</v>
      </c>
      <c r="D54" s="13" t="s">
        <v>1281</v>
      </c>
      <c r="E54" s="13" t="s">
        <v>1627</v>
      </c>
      <c r="F54" s="13" t="s">
        <v>1501</v>
      </c>
      <c r="G54" s="27" t="s">
        <v>361</v>
      </c>
      <c r="H54" s="27" t="s">
        <v>178</v>
      </c>
      <c r="I54" s="27" t="s">
        <v>348</v>
      </c>
      <c r="J54" s="14"/>
      <c r="K54" s="14" t="str">
        <f>"42,5"</f>
        <v>42,5</v>
      </c>
      <c r="L54" s="14" t="str">
        <f>"35,7045"</f>
        <v>35,7045</v>
      </c>
      <c r="M54" s="13" t="s">
        <v>1282</v>
      </c>
    </row>
    <row r="55" spans="1:13">
      <c r="B55" s="5" t="s">
        <v>166</v>
      </c>
    </row>
    <row r="56" spans="1:13" ht="16">
      <c r="A56" s="48" t="s">
        <v>64</v>
      </c>
      <c r="B56" s="48"/>
      <c r="C56" s="48"/>
      <c r="D56" s="48"/>
      <c r="E56" s="48"/>
      <c r="F56" s="48"/>
      <c r="G56" s="48"/>
      <c r="H56" s="48"/>
      <c r="I56" s="48"/>
      <c r="J56" s="48"/>
    </row>
    <row r="57" spans="1:13">
      <c r="A57" s="10" t="s">
        <v>165</v>
      </c>
      <c r="B57" s="9" t="s">
        <v>1339</v>
      </c>
      <c r="C57" s="9" t="s">
        <v>1458</v>
      </c>
      <c r="D57" s="9" t="s">
        <v>1340</v>
      </c>
      <c r="E57" s="9" t="s">
        <v>1630</v>
      </c>
      <c r="F57" s="9" t="s">
        <v>1535</v>
      </c>
      <c r="G57" s="22" t="s">
        <v>349</v>
      </c>
      <c r="H57" s="22" t="s">
        <v>716</v>
      </c>
      <c r="I57" s="22" t="s">
        <v>386</v>
      </c>
      <c r="J57" s="10"/>
      <c r="K57" s="10" t="str">
        <f>"57,5"</f>
        <v>57,5</v>
      </c>
      <c r="L57" s="10" t="str">
        <f>"36,8374"</f>
        <v>36,8374</v>
      </c>
      <c r="M57" s="9" t="s">
        <v>1341</v>
      </c>
    </row>
    <row r="58" spans="1:13">
      <c r="A58" s="12" t="s">
        <v>165</v>
      </c>
      <c r="B58" s="11" t="s">
        <v>1342</v>
      </c>
      <c r="C58" s="11" t="s">
        <v>1343</v>
      </c>
      <c r="D58" s="11" t="s">
        <v>1344</v>
      </c>
      <c r="E58" s="11" t="s">
        <v>1623</v>
      </c>
      <c r="F58" s="11" t="s">
        <v>1490</v>
      </c>
      <c r="G58" s="25" t="s">
        <v>371</v>
      </c>
      <c r="H58" s="25" t="s">
        <v>18</v>
      </c>
      <c r="I58" s="25" t="s">
        <v>372</v>
      </c>
      <c r="J58" s="12"/>
      <c r="K58" s="12" t="str">
        <f>"77,5"</f>
        <v>77,5</v>
      </c>
      <c r="L58" s="12" t="str">
        <f>"47,8407"</f>
        <v>47,8407</v>
      </c>
      <c r="M58" s="11" t="s">
        <v>264</v>
      </c>
    </row>
    <row r="59" spans="1:13">
      <c r="A59" s="12" t="s">
        <v>167</v>
      </c>
      <c r="B59" s="11" t="s">
        <v>1345</v>
      </c>
      <c r="C59" s="11" t="s">
        <v>1346</v>
      </c>
      <c r="D59" s="11" t="s">
        <v>1347</v>
      </c>
      <c r="E59" s="11" t="s">
        <v>1623</v>
      </c>
      <c r="F59" s="11" t="s">
        <v>1596</v>
      </c>
      <c r="G59" s="25" t="s">
        <v>432</v>
      </c>
      <c r="H59" s="25" t="s">
        <v>371</v>
      </c>
      <c r="I59" s="25" t="s">
        <v>18</v>
      </c>
      <c r="J59" s="12"/>
      <c r="K59" s="12" t="str">
        <f>"75,0"</f>
        <v>75,0</v>
      </c>
      <c r="L59" s="12" t="str">
        <f>"47,5500"</f>
        <v>47,5500</v>
      </c>
      <c r="M59" s="11" t="s">
        <v>264</v>
      </c>
    </row>
    <row r="60" spans="1:13">
      <c r="A60" s="12" t="s">
        <v>168</v>
      </c>
      <c r="B60" s="11" t="s">
        <v>1348</v>
      </c>
      <c r="C60" s="11" t="s">
        <v>1349</v>
      </c>
      <c r="D60" s="11" t="s">
        <v>1350</v>
      </c>
      <c r="E60" s="11" t="s">
        <v>1623</v>
      </c>
      <c r="F60" s="11" t="s">
        <v>1596</v>
      </c>
      <c r="G60" s="24" t="s">
        <v>371</v>
      </c>
      <c r="H60" s="25" t="s">
        <v>371</v>
      </c>
      <c r="I60" s="24" t="s">
        <v>18</v>
      </c>
      <c r="J60" s="12"/>
      <c r="K60" s="12" t="str">
        <f>"72,5"</f>
        <v>72,5</v>
      </c>
      <c r="L60" s="12" t="str">
        <f>"45,0769"</f>
        <v>45,0769</v>
      </c>
      <c r="M60" s="11" t="s">
        <v>264</v>
      </c>
    </row>
    <row r="61" spans="1:13">
      <c r="A61" s="12" t="s">
        <v>170</v>
      </c>
      <c r="B61" s="11" t="s">
        <v>1351</v>
      </c>
      <c r="C61" s="11" t="s">
        <v>927</v>
      </c>
      <c r="D61" s="11" t="s">
        <v>1352</v>
      </c>
      <c r="E61" s="11" t="s">
        <v>1623</v>
      </c>
      <c r="F61" s="11" t="s">
        <v>1520</v>
      </c>
      <c r="G61" s="25" t="s">
        <v>16</v>
      </c>
      <c r="H61" s="25" t="s">
        <v>432</v>
      </c>
      <c r="I61" s="24" t="s">
        <v>17</v>
      </c>
      <c r="J61" s="12"/>
      <c r="K61" s="12" t="str">
        <f>"67,5"</f>
        <v>67,5</v>
      </c>
      <c r="L61" s="12" t="str">
        <f>"41,9411"</f>
        <v>41,9411</v>
      </c>
      <c r="M61" s="11" t="s">
        <v>264</v>
      </c>
    </row>
    <row r="62" spans="1:13">
      <c r="A62" s="12" t="s">
        <v>542</v>
      </c>
      <c r="B62" s="11" t="s">
        <v>866</v>
      </c>
      <c r="C62" s="11" t="s">
        <v>867</v>
      </c>
      <c r="D62" s="11" t="s">
        <v>1353</v>
      </c>
      <c r="E62" s="11" t="s">
        <v>1623</v>
      </c>
      <c r="F62" s="11" t="s">
        <v>1535</v>
      </c>
      <c r="G62" s="25" t="s">
        <v>366</v>
      </c>
      <c r="H62" s="25" t="s">
        <v>386</v>
      </c>
      <c r="I62" s="25" t="s">
        <v>396</v>
      </c>
      <c r="J62" s="12"/>
      <c r="K62" s="12" t="str">
        <f>"62,5"</f>
        <v>62,5</v>
      </c>
      <c r="L62" s="12" t="str">
        <f>"40,0687"</f>
        <v>40,0687</v>
      </c>
      <c r="M62" s="11" t="s">
        <v>868</v>
      </c>
    </row>
    <row r="63" spans="1:13">
      <c r="A63" s="12" t="s">
        <v>704</v>
      </c>
      <c r="B63" s="11" t="s">
        <v>1354</v>
      </c>
      <c r="C63" s="11" t="s">
        <v>1355</v>
      </c>
      <c r="D63" s="11" t="s">
        <v>1213</v>
      </c>
      <c r="E63" s="11" t="s">
        <v>1623</v>
      </c>
      <c r="F63" s="11" t="s">
        <v>1535</v>
      </c>
      <c r="G63" s="25" t="s">
        <v>349</v>
      </c>
      <c r="H63" s="25" t="s">
        <v>716</v>
      </c>
      <c r="I63" s="24" t="s">
        <v>386</v>
      </c>
      <c r="J63" s="12"/>
      <c r="K63" s="12" t="str">
        <f>"52,5"</f>
        <v>52,5</v>
      </c>
      <c r="L63" s="12" t="str">
        <f>"32,8834"</f>
        <v>32,8834</v>
      </c>
      <c r="M63" s="11" t="s">
        <v>868</v>
      </c>
    </row>
    <row r="64" spans="1:13">
      <c r="A64" s="12" t="s">
        <v>165</v>
      </c>
      <c r="B64" s="11" t="s">
        <v>1342</v>
      </c>
      <c r="C64" s="11" t="s">
        <v>1459</v>
      </c>
      <c r="D64" s="11" t="s">
        <v>1344</v>
      </c>
      <c r="E64" s="11" t="s">
        <v>1624</v>
      </c>
      <c r="F64" s="11" t="s">
        <v>1490</v>
      </c>
      <c r="G64" s="25" t="s">
        <v>371</v>
      </c>
      <c r="H64" s="25" t="s">
        <v>18</v>
      </c>
      <c r="I64" s="25" t="s">
        <v>372</v>
      </c>
      <c r="J64" s="12"/>
      <c r="K64" s="12" t="str">
        <f>"77,5"</f>
        <v>77,5</v>
      </c>
      <c r="L64" s="12" t="str">
        <f>"49,3238"</f>
        <v>49,3238</v>
      </c>
      <c r="M64" s="11" t="s">
        <v>264</v>
      </c>
    </row>
    <row r="65" spans="1:13">
      <c r="A65" s="14" t="s">
        <v>165</v>
      </c>
      <c r="B65" s="13" t="s">
        <v>1356</v>
      </c>
      <c r="C65" s="13" t="s">
        <v>1460</v>
      </c>
      <c r="D65" s="13" t="s">
        <v>1353</v>
      </c>
      <c r="E65" s="13" t="s">
        <v>1627</v>
      </c>
      <c r="F65" s="13" t="s">
        <v>1490</v>
      </c>
      <c r="G65" s="27" t="s">
        <v>366</v>
      </c>
      <c r="H65" s="26" t="s">
        <v>188</v>
      </c>
      <c r="I65" s="26" t="s">
        <v>188</v>
      </c>
      <c r="J65" s="14"/>
      <c r="K65" s="14" t="str">
        <f>"50,0"</f>
        <v>50,0</v>
      </c>
      <c r="L65" s="14" t="str">
        <f>"41,3830"</f>
        <v>41,3830</v>
      </c>
      <c r="M65" s="13" t="s">
        <v>264</v>
      </c>
    </row>
    <row r="66" spans="1:13">
      <c r="B66" s="5" t="s">
        <v>166</v>
      </c>
    </row>
    <row r="67" spans="1:13" ht="16">
      <c r="A67" s="48" t="s">
        <v>70</v>
      </c>
      <c r="B67" s="48"/>
      <c r="C67" s="48"/>
      <c r="D67" s="48"/>
      <c r="E67" s="48"/>
      <c r="F67" s="48"/>
      <c r="G67" s="48"/>
      <c r="H67" s="48"/>
      <c r="I67" s="48"/>
      <c r="J67" s="48"/>
    </row>
    <row r="68" spans="1:13">
      <c r="A68" s="10" t="s">
        <v>165</v>
      </c>
      <c r="B68" s="9" t="s">
        <v>1291</v>
      </c>
      <c r="C68" s="9" t="s">
        <v>1292</v>
      </c>
      <c r="D68" s="9" t="s">
        <v>638</v>
      </c>
      <c r="E68" s="9" t="s">
        <v>1623</v>
      </c>
      <c r="F68" s="9" t="s">
        <v>1490</v>
      </c>
      <c r="G68" s="22" t="s">
        <v>371</v>
      </c>
      <c r="H68" s="22" t="s">
        <v>18</v>
      </c>
      <c r="I68" s="10"/>
      <c r="J68" s="10"/>
      <c r="K68" s="10" t="str">
        <f>"75,0"</f>
        <v>75,0</v>
      </c>
      <c r="L68" s="10" t="str">
        <f>"43,6538"</f>
        <v>43,6538</v>
      </c>
      <c r="M68" s="9" t="s">
        <v>1293</v>
      </c>
    </row>
    <row r="69" spans="1:13">
      <c r="A69" s="12" t="s">
        <v>167</v>
      </c>
      <c r="B69" s="11" t="s">
        <v>1283</v>
      </c>
      <c r="C69" s="11" t="s">
        <v>1284</v>
      </c>
      <c r="D69" s="11" t="s">
        <v>80</v>
      </c>
      <c r="E69" s="11" t="s">
        <v>1623</v>
      </c>
      <c r="F69" s="11" t="s">
        <v>1501</v>
      </c>
      <c r="G69" s="25" t="s">
        <v>396</v>
      </c>
      <c r="H69" s="24" t="s">
        <v>432</v>
      </c>
      <c r="I69" s="25" t="s">
        <v>432</v>
      </c>
      <c r="J69" s="12"/>
      <c r="K69" s="12" t="str">
        <f>"67,5"</f>
        <v>67,5</v>
      </c>
      <c r="L69" s="12" t="str">
        <f>"39,9566"</f>
        <v>39,9566</v>
      </c>
      <c r="M69" s="11" t="s">
        <v>1272</v>
      </c>
    </row>
    <row r="70" spans="1:13">
      <c r="A70" s="12" t="s">
        <v>165</v>
      </c>
      <c r="B70" s="11" t="s">
        <v>502</v>
      </c>
      <c r="C70" s="11" t="s">
        <v>503</v>
      </c>
      <c r="D70" s="11" t="s">
        <v>1357</v>
      </c>
      <c r="E70" s="11" t="s">
        <v>1624</v>
      </c>
      <c r="F70" s="11" t="s">
        <v>1503</v>
      </c>
      <c r="G70" s="25" t="s">
        <v>175</v>
      </c>
      <c r="H70" s="25" t="s">
        <v>16</v>
      </c>
      <c r="I70" s="25" t="s">
        <v>432</v>
      </c>
      <c r="J70" s="12"/>
      <c r="K70" s="12" t="str">
        <f>"67,5"</f>
        <v>67,5</v>
      </c>
      <c r="L70" s="12" t="str">
        <f>"40,7073"</f>
        <v>40,7073</v>
      </c>
      <c r="M70" s="11" t="s">
        <v>264</v>
      </c>
    </row>
    <row r="71" spans="1:13">
      <c r="A71" s="14" t="s">
        <v>167</v>
      </c>
      <c r="B71" s="13" t="s">
        <v>1358</v>
      </c>
      <c r="C71" s="13" t="s">
        <v>1461</v>
      </c>
      <c r="D71" s="13" t="s">
        <v>1359</v>
      </c>
      <c r="E71" s="13" t="s">
        <v>1624</v>
      </c>
      <c r="F71" s="13" t="s">
        <v>1490</v>
      </c>
      <c r="G71" s="26" t="s">
        <v>175</v>
      </c>
      <c r="H71" s="27" t="s">
        <v>175</v>
      </c>
      <c r="I71" s="26" t="s">
        <v>432</v>
      </c>
      <c r="J71" s="14"/>
      <c r="K71" s="14" t="str">
        <f>"60,0"</f>
        <v>60,0</v>
      </c>
      <c r="L71" s="14" t="str">
        <f>"36,7903"</f>
        <v>36,7903</v>
      </c>
      <c r="M71" s="13" t="s">
        <v>264</v>
      </c>
    </row>
    <row r="72" spans="1:13">
      <c r="B72" s="5" t="s">
        <v>166</v>
      </c>
    </row>
    <row r="73" spans="1:13" ht="16">
      <c r="A73" s="48" t="s">
        <v>99</v>
      </c>
      <c r="B73" s="48"/>
      <c r="C73" s="48"/>
      <c r="D73" s="48"/>
      <c r="E73" s="48"/>
      <c r="F73" s="48"/>
      <c r="G73" s="48"/>
      <c r="H73" s="48"/>
      <c r="I73" s="48"/>
      <c r="J73" s="48"/>
    </row>
    <row r="74" spans="1:13">
      <c r="A74" s="10" t="s">
        <v>165</v>
      </c>
      <c r="B74" s="9" t="s">
        <v>1360</v>
      </c>
      <c r="C74" s="9" t="s">
        <v>1462</v>
      </c>
      <c r="D74" s="9" t="s">
        <v>1361</v>
      </c>
      <c r="E74" s="9" t="s">
        <v>1626</v>
      </c>
      <c r="F74" s="9" t="s">
        <v>1490</v>
      </c>
      <c r="G74" s="22" t="s">
        <v>17</v>
      </c>
      <c r="H74" s="23" t="s">
        <v>371</v>
      </c>
      <c r="I74" s="23" t="s">
        <v>371</v>
      </c>
      <c r="J74" s="10"/>
      <c r="K74" s="10" t="str">
        <f>"70,0"</f>
        <v>70,0</v>
      </c>
      <c r="L74" s="10" t="str">
        <f>"39,5185"</f>
        <v>39,5185</v>
      </c>
      <c r="M74" s="9" t="s">
        <v>1362</v>
      </c>
    </row>
    <row r="75" spans="1:13">
      <c r="A75" s="12" t="s">
        <v>167</v>
      </c>
      <c r="B75" s="11" t="s">
        <v>1363</v>
      </c>
      <c r="C75" s="11" t="s">
        <v>1462</v>
      </c>
      <c r="D75" s="11" t="s">
        <v>1066</v>
      </c>
      <c r="E75" s="11" t="s">
        <v>1626</v>
      </c>
      <c r="F75" s="11" t="s">
        <v>1490</v>
      </c>
      <c r="G75" s="25" t="s">
        <v>396</v>
      </c>
      <c r="H75" s="24" t="s">
        <v>432</v>
      </c>
      <c r="I75" s="24" t="s">
        <v>432</v>
      </c>
      <c r="J75" s="12"/>
      <c r="K75" s="12" t="str">
        <f>"62,5"</f>
        <v>62,5</v>
      </c>
      <c r="L75" s="12" t="str">
        <f>"35,7750"</f>
        <v>35,7750</v>
      </c>
      <c r="M75" s="11" t="s">
        <v>1362</v>
      </c>
    </row>
    <row r="76" spans="1:13">
      <c r="A76" s="14" t="s">
        <v>165</v>
      </c>
      <c r="B76" s="13" t="s">
        <v>1364</v>
      </c>
      <c r="C76" s="13" t="s">
        <v>1365</v>
      </c>
      <c r="D76" s="13" t="s">
        <v>658</v>
      </c>
      <c r="E76" s="13" t="s">
        <v>1623</v>
      </c>
      <c r="F76" s="13" t="s">
        <v>1601</v>
      </c>
      <c r="G76" s="27" t="s">
        <v>229</v>
      </c>
      <c r="H76" s="26" t="s">
        <v>186</v>
      </c>
      <c r="I76" s="26" t="s">
        <v>186</v>
      </c>
      <c r="J76" s="14"/>
      <c r="K76" s="14" t="str">
        <f>"105,0"</f>
        <v>105,0</v>
      </c>
      <c r="L76" s="14" t="str">
        <f>"59,3565"</f>
        <v>59,3565</v>
      </c>
      <c r="M76" s="13" t="s">
        <v>264</v>
      </c>
    </row>
    <row r="77" spans="1:13">
      <c r="B77" s="5" t="s">
        <v>166</v>
      </c>
    </row>
    <row r="78" spans="1:13" ht="16">
      <c r="A78" s="48" t="s">
        <v>109</v>
      </c>
      <c r="B78" s="48"/>
      <c r="C78" s="48"/>
      <c r="D78" s="48"/>
      <c r="E78" s="48"/>
      <c r="F78" s="48"/>
      <c r="G78" s="48"/>
      <c r="H78" s="48"/>
      <c r="I78" s="48"/>
      <c r="J78" s="48"/>
    </row>
    <row r="79" spans="1:13">
      <c r="A79" s="10" t="s">
        <v>165</v>
      </c>
      <c r="B79" s="9" t="s">
        <v>1366</v>
      </c>
      <c r="C79" s="9" t="s">
        <v>1367</v>
      </c>
      <c r="D79" s="9" t="s">
        <v>1285</v>
      </c>
      <c r="E79" s="9" t="s">
        <v>1623</v>
      </c>
      <c r="F79" s="9" t="s">
        <v>1612</v>
      </c>
      <c r="G79" s="22" t="s">
        <v>181</v>
      </c>
      <c r="H79" s="23" t="s">
        <v>347</v>
      </c>
      <c r="I79" s="23" t="s">
        <v>347</v>
      </c>
      <c r="J79" s="10"/>
      <c r="K79" s="10" t="str">
        <f>"90,0"</f>
        <v>90,0</v>
      </c>
      <c r="L79" s="10" t="str">
        <f>"49,8915"</f>
        <v>49,8915</v>
      </c>
      <c r="M79" s="9" t="s">
        <v>1368</v>
      </c>
    </row>
    <row r="80" spans="1:13">
      <c r="A80" s="12" t="s">
        <v>167</v>
      </c>
      <c r="B80" s="11" t="s">
        <v>1369</v>
      </c>
      <c r="C80" s="11" t="s">
        <v>1370</v>
      </c>
      <c r="D80" s="11" t="s">
        <v>514</v>
      </c>
      <c r="E80" s="11" t="s">
        <v>1623</v>
      </c>
      <c r="F80" s="11" t="s">
        <v>1579</v>
      </c>
      <c r="G80" s="25" t="s">
        <v>252</v>
      </c>
      <c r="H80" s="24" t="s">
        <v>181</v>
      </c>
      <c r="I80" s="24" t="s">
        <v>181</v>
      </c>
      <c r="J80" s="12"/>
      <c r="K80" s="12" t="str">
        <f>"85,0"</f>
        <v>85,0</v>
      </c>
      <c r="L80" s="12" t="str">
        <f>"46,5120"</f>
        <v>46,5120</v>
      </c>
      <c r="M80" s="11" t="s">
        <v>1371</v>
      </c>
    </row>
    <row r="81" spans="1:13">
      <c r="A81" s="12" t="s">
        <v>168</v>
      </c>
      <c r="B81" s="11" t="s">
        <v>1372</v>
      </c>
      <c r="C81" s="11" t="s">
        <v>1373</v>
      </c>
      <c r="D81" s="11" t="s">
        <v>1290</v>
      </c>
      <c r="E81" s="11" t="s">
        <v>1623</v>
      </c>
      <c r="F81" s="11" t="s">
        <v>1602</v>
      </c>
      <c r="G81" s="25" t="s">
        <v>371</v>
      </c>
      <c r="H81" s="24" t="s">
        <v>372</v>
      </c>
      <c r="I81" s="25" t="s">
        <v>372</v>
      </c>
      <c r="J81" s="12"/>
      <c r="K81" s="12" t="str">
        <f>"77,5"</f>
        <v>77,5</v>
      </c>
      <c r="L81" s="12" t="str">
        <f>"43,2063"</f>
        <v>43,2063</v>
      </c>
      <c r="M81" s="11" t="s">
        <v>1374</v>
      </c>
    </row>
    <row r="82" spans="1:13">
      <c r="A82" s="12" t="s">
        <v>165</v>
      </c>
      <c r="B82" s="11" t="s">
        <v>1372</v>
      </c>
      <c r="C82" s="11" t="s">
        <v>1463</v>
      </c>
      <c r="D82" s="11" t="s">
        <v>1290</v>
      </c>
      <c r="E82" s="11" t="s">
        <v>1624</v>
      </c>
      <c r="F82" s="11" t="s">
        <v>1602</v>
      </c>
      <c r="G82" s="25" t="s">
        <v>371</v>
      </c>
      <c r="H82" s="24" t="s">
        <v>372</v>
      </c>
      <c r="I82" s="25" t="s">
        <v>372</v>
      </c>
      <c r="J82" s="12"/>
      <c r="K82" s="12" t="str">
        <f>"77,5"</f>
        <v>77,5</v>
      </c>
      <c r="L82" s="12" t="str">
        <f>"43,2063"</f>
        <v>43,2063</v>
      </c>
      <c r="M82" s="11" t="s">
        <v>1374</v>
      </c>
    </row>
    <row r="83" spans="1:13">
      <c r="A83" s="14" t="s">
        <v>167</v>
      </c>
      <c r="B83" s="13" t="s">
        <v>1286</v>
      </c>
      <c r="C83" s="13" t="s">
        <v>1464</v>
      </c>
      <c r="D83" s="13" t="s">
        <v>1287</v>
      </c>
      <c r="E83" s="13" t="s">
        <v>1624</v>
      </c>
      <c r="F83" s="13" t="s">
        <v>1501</v>
      </c>
      <c r="G83" s="27" t="s">
        <v>371</v>
      </c>
      <c r="H83" s="27" t="s">
        <v>18</v>
      </c>
      <c r="I83" s="27" t="s">
        <v>372</v>
      </c>
      <c r="J83" s="14"/>
      <c r="K83" s="14" t="str">
        <f>"77,5"</f>
        <v>77,5</v>
      </c>
      <c r="L83" s="14" t="str">
        <f>"44,8014"</f>
        <v>44,8014</v>
      </c>
      <c r="M83" s="13" t="s">
        <v>264</v>
      </c>
    </row>
    <row r="84" spans="1:13">
      <c r="B84" s="5" t="s">
        <v>166</v>
      </c>
    </row>
    <row r="85" spans="1:13" ht="16">
      <c r="A85" s="48" t="s">
        <v>132</v>
      </c>
      <c r="B85" s="48"/>
      <c r="C85" s="48"/>
      <c r="D85" s="48"/>
      <c r="E85" s="48"/>
      <c r="F85" s="48"/>
      <c r="G85" s="48"/>
      <c r="H85" s="48"/>
      <c r="I85" s="48"/>
      <c r="J85" s="48"/>
    </row>
    <row r="86" spans="1:13">
      <c r="A86" s="8" t="s">
        <v>165</v>
      </c>
      <c r="B86" s="7" t="s">
        <v>999</v>
      </c>
      <c r="C86" s="7" t="s">
        <v>1000</v>
      </c>
      <c r="D86" s="7" t="s">
        <v>1375</v>
      </c>
      <c r="E86" s="7" t="s">
        <v>1623</v>
      </c>
      <c r="F86" s="7" t="s">
        <v>1613</v>
      </c>
      <c r="G86" s="21" t="s">
        <v>432</v>
      </c>
      <c r="H86" s="21" t="s">
        <v>371</v>
      </c>
      <c r="I86" s="21" t="s">
        <v>18</v>
      </c>
      <c r="J86" s="8"/>
      <c r="K86" s="8" t="str">
        <f>"75,0"</f>
        <v>75,0</v>
      </c>
      <c r="L86" s="8" t="str">
        <f>"40,6822"</f>
        <v>40,6822</v>
      </c>
      <c r="M86" s="7" t="s">
        <v>264</v>
      </c>
    </row>
    <row r="87" spans="1:13">
      <c r="B87" s="5" t="s">
        <v>166</v>
      </c>
    </row>
    <row r="90" spans="1:13" ht="18">
      <c r="B90" s="15" t="s">
        <v>141</v>
      </c>
      <c r="C90" s="15"/>
    </row>
    <row r="91" spans="1:13" ht="16">
      <c r="B91" s="16" t="s">
        <v>150</v>
      </c>
      <c r="C91" s="16"/>
    </row>
    <row r="92" spans="1:13" ht="14">
      <c r="B92" s="17"/>
      <c r="C92" s="18" t="s">
        <v>241</v>
      </c>
    </row>
    <row r="93" spans="1:13" ht="14">
      <c r="B93" s="19" t="s">
        <v>144</v>
      </c>
      <c r="C93" s="19" t="s">
        <v>145</v>
      </c>
      <c r="D93" s="19" t="s">
        <v>1430</v>
      </c>
      <c r="E93" s="19" t="s">
        <v>582</v>
      </c>
      <c r="F93" s="19" t="s">
        <v>583</v>
      </c>
    </row>
    <row r="94" spans="1:13">
      <c r="B94" s="5" t="s">
        <v>1278</v>
      </c>
      <c r="C94" s="5" t="s">
        <v>1465</v>
      </c>
      <c r="D94" s="6" t="s">
        <v>240</v>
      </c>
      <c r="E94" s="6" t="s">
        <v>366</v>
      </c>
      <c r="F94" s="6" t="s">
        <v>1376</v>
      </c>
    </row>
    <row r="95" spans="1:13">
      <c r="B95" s="5" t="s">
        <v>1331</v>
      </c>
      <c r="C95" s="5" t="s">
        <v>1465</v>
      </c>
      <c r="D95" s="6" t="s">
        <v>149</v>
      </c>
      <c r="E95" s="6" t="s">
        <v>396</v>
      </c>
      <c r="F95" s="6" t="s">
        <v>1377</v>
      </c>
    </row>
    <row r="96" spans="1:13">
      <c r="B96" s="5" t="s">
        <v>1089</v>
      </c>
      <c r="C96" s="5" t="s">
        <v>1465</v>
      </c>
      <c r="D96" s="6" t="s">
        <v>243</v>
      </c>
      <c r="E96" s="6" t="s">
        <v>716</v>
      </c>
      <c r="F96" s="6" t="s">
        <v>1378</v>
      </c>
    </row>
    <row r="98" spans="2:6" ht="14">
      <c r="B98" s="17"/>
      <c r="C98" s="18" t="s">
        <v>143</v>
      </c>
    </row>
    <row r="99" spans="2:6" ht="14">
      <c r="B99" s="19" t="s">
        <v>144</v>
      </c>
      <c r="C99" s="19" t="s">
        <v>145</v>
      </c>
      <c r="D99" s="19" t="s">
        <v>1430</v>
      </c>
      <c r="E99" s="19" t="s">
        <v>582</v>
      </c>
      <c r="F99" s="19" t="s">
        <v>583</v>
      </c>
    </row>
    <row r="100" spans="2:6">
      <c r="B100" s="5" t="s">
        <v>1364</v>
      </c>
      <c r="C100" s="5" t="s">
        <v>143</v>
      </c>
      <c r="D100" s="6" t="s">
        <v>152</v>
      </c>
      <c r="E100" s="6" t="s">
        <v>229</v>
      </c>
      <c r="F100" s="6" t="s">
        <v>1379</v>
      </c>
    </row>
    <row r="101" spans="2:6">
      <c r="B101" s="5" t="s">
        <v>1322</v>
      </c>
      <c r="C101" s="5" t="s">
        <v>143</v>
      </c>
      <c r="D101" s="6" t="s">
        <v>158</v>
      </c>
      <c r="E101" s="6" t="s">
        <v>18</v>
      </c>
      <c r="F101" s="6" t="s">
        <v>1380</v>
      </c>
    </row>
    <row r="102" spans="2:6">
      <c r="B102" s="5" t="s">
        <v>1312</v>
      </c>
      <c r="C102" s="5" t="s">
        <v>143</v>
      </c>
      <c r="D102" s="6" t="s">
        <v>239</v>
      </c>
      <c r="E102" s="6" t="s">
        <v>175</v>
      </c>
      <c r="F102" s="6" t="s">
        <v>1381</v>
      </c>
    </row>
    <row r="104" spans="2:6" ht="14">
      <c r="B104" s="17"/>
      <c r="C104" s="18" t="s">
        <v>161</v>
      </c>
    </row>
    <row r="105" spans="2:6" ht="14">
      <c r="B105" s="19" t="s">
        <v>144</v>
      </c>
      <c r="C105" s="19" t="s">
        <v>145</v>
      </c>
      <c r="D105" s="19" t="s">
        <v>1430</v>
      </c>
      <c r="E105" s="19" t="s">
        <v>582</v>
      </c>
      <c r="F105" s="19" t="s">
        <v>583</v>
      </c>
    </row>
    <row r="106" spans="2:6">
      <c r="B106" s="5" t="s">
        <v>1312</v>
      </c>
      <c r="C106" s="5" t="s">
        <v>164</v>
      </c>
      <c r="D106" s="6" t="s">
        <v>239</v>
      </c>
      <c r="E106" s="6" t="s">
        <v>175</v>
      </c>
      <c r="F106" s="6" t="s">
        <v>1382</v>
      </c>
    </row>
    <row r="107" spans="2:6">
      <c r="B107" s="5" t="s">
        <v>1328</v>
      </c>
      <c r="C107" s="5" t="s">
        <v>164</v>
      </c>
      <c r="D107" s="6" t="s">
        <v>158</v>
      </c>
      <c r="E107" s="6" t="s">
        <v>432</v>
      </c>
      <c r="F107" s="6" t="s">
        <v>1383</v>
      </c>
    </row>
    <row r="108" spans="2:6">
      <c r="B108" s="5" t="s">
        <v>1342</v>
      </c>
      <c r="C108" s="5" t="s">
        <v>164</v>
      </c>
      <c r="D108" s="6" t="s">
        <v>244</v>
      </c>
      <c r="E108" s="6" t="s">
        <v>372</v>
      </c>
      <c r="F108" s="6" t="s">
        <v>1384</v>
      </c>
    </row>
    <row r="109" spans="2:6">
      <c r="B109" s="5" t="s">
        <v>166</v>
      </c>
    </row>
  </sheetData>
  <mergeCells count="26">
    <mergeCell ref="A78:J78"/>
    <mergeCell ref="A85:J85"/>
    <mergeCell ref="B3:B4"/>
    <mergeCell ref="A30:J30"/>
    <mergeCell ref="A36:J36"/>
    <mergeCell ref="A48:J48"/>
    <mergeCell ref="A56:J56"/>
    <mergeCell ref="A67:J67"/>
    <mergeCell ref="A73:J73"/>
    <mergeCell ref="A9:J9"/>
    <mergeCell ref="A12:J12"/>
    <mergeCell ref="A15:J15"/>
    <mergeCell ref="A19:J19"/>
    <mergeCell ref="A22:J22"/>
    <mergeCell ref="A25:J25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U54"/>
  <sheetViews>
    <sheetView workbookViewId="0">
      <selection activeCell="E44" sqref="E44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2" style="5" customWidth="1"/>
    <col min="22" max="16384" width="9.1640625" style="3"/>
  </cols>
  <sheetData>
    <row r="1" spans="1:21" s="2" customFormat="1" ht="29" customHeight="1">
      <c r="A1" s="35" t="s">
        <v>1470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2"/>
    </row>
    <row r="3" spans="1:21" s="1" customFormat="1" ht="12.75" customHeight="1">
      <c r="A3" s="43" t="s">
        <v>1488</v>
      </c>
      <c r="B3" s="55" t="s">
        <v>0</v>
      </c>
      <c r="C3" s="45" t="s">
        <v>1620</v>
      </c>
      <c r="D3" s="45" t="s">
        <v>5</v>
      </c>
      <c r="E3" s="47" t="s">
        <v>1621</v>
      </c>
      <c r="F3" s="47" t="s">
        <v>6</v>
      </c>
      <c r="G3" s="47" t="s">
        <v>7</v>
      </c>
      <c r="H3" s="47"/>
      <c r="I3" s="47"/>
      <c r="J3" s="47"/>
      <c r="K3" s="47" t="s">
        <v>8</v>
      </c>
      <c r="L3" s="47"/>
      <c r="M3" s="47"/>
      <c r="N3" s="47"/>
      <c r="O3" s="47" t="s">
        <v>9</v>
      </c>
      <c r="P3" s="47"/>
      <c r="Q3" s="47"/>
      <c r="R3" s="47"/>
      <c r="S3" s="47" t="s">
        <v>1</v>
      </c>
      <c r="T3" s="47" t="s">
        <v>3</v>
      </c>
      <c r="U3" s="51" t="s">
        <v>2</v>
      </c>
    </row>
    <row r="4" spans="1:21" s="1" customFormat="1" ht="21" customHeight="1" thickBot="1">
      <c r="A4" s="44"/>
      <c r="B4" s="56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6"/>
      <c r="T4" s="46"/>
      <c r="U4" s="52"/>
    </row>
    <row r="5" spans="1:21" ht="16">
      <c r="A5" s="53" t="s">
        <v>191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1">
      <c r="A6" s="8" t="s">
        <v>165</v>
      </c>
      <c r="B6" s="7" t="s">
        <v>255</v>
      </c>
      <c r="C6" s="7" t="s">
        <v>256</v>
      </c>
      <c r="D6" s="7" t="s">
        <v>257</v>
      </c>
      <c r="E6" s="7" t="s">
        <v>1623</v>
      </c>
      <c r="F6" s="7" t="s">
        <v>1506</v>
      </c>
      <c r="G6" s="21" t="s">
        <v>15</v>
      </c>
      <c r="H6" s="21" t="s">
        <v>37</v>
      </c>
      <c r="I6" s="20" t="s">
        <v>74</v>
      </c>
      <c r="J6" s="8"/>
      <c r="K6" s="21" t="s">
        <v>258</v>
      </c>
      <c r="L6" s="20" t="s">
        <v>259</v>
      </c>
      <c r="M6" s="21" t="s">
        <v>259</v>
      </c>
      <c r="N6" s="8"/>
      <c r="O6" s="21" t="s">
        <v>19</v>
      </c>
      <c r="P6" s="21" t="s">
        <v>74</v>
      </c>
      <c r="Q6" s="20" t="s">
        <v>38</v>
      </c>
      <c r="R6" s="8"/>
      <c r="S6" s="8" t="str">
        <f>"450,0"</f>
        <v>450,0</v>
      </c>
      <c r="T6" s="8" t="str">
        <f>"493,4700"</f>
        <v>493,4700</v>
      </c>
      <c r="U6" s="7" t="s">
        <v>260</v>
      </c>
    </row>
    <row r="7" spans="1:21">
      <c r="B7" s="5" t="s">
        <v>166</v>
      </c>
    </row>
    <row r="8" spans="1:21" ht="16">
      <c r="A8" s="48" t="s">
        <v>22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21">
      <c r="A9" s="10" t="s">
        <v>165</v>
      </c>
      <c r="B9" s="9" t="s">
        <v>261</v>
      </c>
      <c r="C9" s="9" t="s">
        <v>262</v>
      </c>
      <c r="D9" s="9" t="s">
        <v>263</v>
      </c>
      <c r="E9" s="9" t="s">
        <v>1623</v>
      </c>
      <c r="F9" s="9" t="s">
        <v>1490</v>
      </c>
      <c r="G9" s="22" t="s">
        <v>75</v>
      </c>
      <c r="H9" s="22" t="s">
        <v>265</v>
      </c>
      <c r="I9" s="23" t="s">
        <v>61</v>
      </c>
      <c r="J9" s="10"/>
      <c r="K9" s="23" t="s">
        <v>266</v>
      </c>
      <c r="L9" s="22" t="s">
        <v>266</v>
      </c>
      <c r="M9" s="23" t="s">
        <v>98</v>
      </c>
      <c r="N9" s="10"/>
      <c r="O9" s="23" t="s">
        <v>27</v>
      </c>
      <c r="P9" s="23" t="s">
        <v>27</v>
      </c>
      <c r="Q9" s="22" t="s">
        <v>27</v>
      </c>
      <c r="R9" s="10"/>
      <c r="S9" s="10" t="str">
        <f>"565,0"</f>
        <v>565,0</v>
      </c>
      <c r="T9" s="10" t="str">
        <f>"402,6190"</f>
        <v>402,6190</v>
      </c>
      <c r="U9" s="9" t="s">
        <v>267</v>
      </c>
    </row>
    <row r="10" spans="1:21">
      <c r="A10" s="14" t="s">
        <v>167</v>
      </c>
      <c r="B10" s="13" t="s">
        <v>268</v>
      </c>
      <c r="C10" s="13" t="s">
        <v>269</v>
      </c>
      <c r="D10" s="13" t="s">
        <v>270</v>
      </c>
      <c r="E10" s="13" t="s">
        <v>1623</v>
      </c>
      <c r="F10" s="13" t="s">
        <v>1490</v>
      </c>
      <c r="G10" s="26" t="s">
        <v>19</v>
      </c>
      <c r="H10" s="27" t="s">
        <v>37</v>
      </c>
      <c r="I10" s="27" t="s">
        <v>20</v>
      </c>
      <c r="J10" s="14"/>
      <c r="K10" s="27" t="s">
        <v>200</v>
      </c>
      <c r="L10" s="27" t="s">
        <v>187</v>
      </c>
      <c r="M10" s="26" t="s">
        <v>271</v>
      </c>
      <c r="N10" s="14"/>
      <c r="O10" s="27" t="s">
        <v>61</v>
      </c>
      <c r="P10" s="26" t="s">
        <v>272</v>
      </c>
      <c r="Q10" s="27" t="s">
        <v>272</v>
      </c>
      <c r="R10" s="14"/>
      <c r="S10" s="14" t="str">
        <f>"517,5"</f>
        <v>517,5</v>
      </c>
      <c r="T10" s="14" t="str">
        <f>"369,0810"</f>
        <v>369,0810</v>
      </c>
      <c r="U10" s="13" t="s">
        <v>264</v>
      </c>
    </row>
    <row r="11" spans="1:21">
      <c r="B11" s="5" t="s">
        <v>166</v>
      </c>
    </row>
    <row r="12" spans="1:21" ht="16">
      <c r="A12" s="48" t="s">
        <v>10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21">
      <c r="A13" s="10" t="s">
        <v>165</v>
      </c>
      <c r="B13" s="9" t="s">
        <v>273</v>
      </c>
      <c r="C13" s="9" t="s">
        <v>274</v>
      </c>
      <c r="D13" s="9" t="s">
        <v>275</v>
      </c>
      <c r="E13" s="9" t="s">
        <v>1623</v>
      </c>
      <c r="F13" s="9" t="s">
        <v>1507</v>
      </c>
      <c r="G13" s="22" t="s">
        <v>26</v>
      </c>
      <c r="H13" s="22" t="s">
        <v>56</v>
      </c>
      <c r="I13" s="10"/>
      <c r="J13" s="10"/>
      <c r="K13" s="22" t="s">
        <v>15</v>
      </c>
      <c r="L13" s="22" t="s">
        <v>37</v>
      </c>
      <c r="M13" s="23" t="s">
        <v>20</v>
      </c>
      <c r="N13" s="10"/>
      <c r="O13" s="22" t="s">
        <v>57</v>
      </c>
      <c r="P13" s="23" t="s">
        <v>30</v>
      </c>
      <c r="Q13" s="23" t="s">
        <v>30</v>
      </c>
      <c r="R13" s="10"/>
      <c r="S13" s="10" t="str">
        <f>"650,0"</f>
        <v>650,0</v>
      </c>
      <c r="T13" s="10" t="str">
        <f>"441,0250"</f>
        <v>441,0250</v>
      </c>
      <c r="U13" s="9" t="s">
        <v>276</v>
      </c>
    </row>
    <row r="14" spans="1:21">
      <c r="A14" s="14" t="s">
        <v>167</v>
      </c>
      <c r="B14" s="13" t="s">
        <v>277</v>
      </c>
      <c r="C14" s="13" t="s">
        <v>278</v>
      </c>
      <c r="D14" s="13" t="s">
        <v>279</v>
      </c>
      <c r="E14" s="13" t="s">
        <v>1623</v>
      </c>
      <c r="F14" s="13" t="s">
        <v>1493</v>
      </c>
      <c r="G14" s="26" t="s">
        <v>20</v>
      </c>
      <c r="H14" s="27" t="s">
        <v>20</v>
      </c>
      <c r="I14" s="27" t="s">
        <v>21</v>
      </c>
      <c r="J14" s="14"/>
      <c r="K14" s="27" t="s">
        <v>62</v>
      </c>
      <c r="L14" s="27" t="s">
        <v>187</v>
      </c>
      <c r="M14" s="27" t="s">
        <v>97</v>
      </c>
      <c r="N14" s="14"/>
      <c r="O14" s="27" t="s">
        <v>56</v>
      </c>
      <c r="P14" s="26" t="s">
        <v>214</v>
      </c>
      <c r="Q14" s="26" t="s">
        <v>214</v>
      </c>
      <c r="R14" s="14"/>
      <c r="S14" s="14" t="str">
        <f>"550,0"</f>
        <v>550,0</v>
      </c>
      <c r="T14" s="14" t="str">
        <f>"376,3650"</f>
        <v>376,3650</v>
      </c>
      <c r="U14" s="13" t="s">
        <v>280</v>
      </c>
    </row>
    <row r="15" spans="1:21">
      <c r="B15" s="5" t="s">
        <v>166</v>
      </c>
    </row>
    <row r="16" spans="1:21" ht="16">
      <c r="A16" s="48" t="s">
        <v>64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</row>
    <row r="17" spans="1:21">
      <c r="A17" s="10" t="s">
        <v>165</v>
      </c>
      <c r="B17" s="9" t="s">
        <v>281</v>
      </c>
      <c r="C17" s="9" t="s">
        <v>282</v>
      </c>
      <c r="D17" s="9" t="s">
        <v>283</v>
      </c>
      <c r="E17" s="9" t="s">
        <v>1626</v>
      </c>
      <c r="F17" s="9" t="s">
        <v>1508</v>
      </c>
      <c r="G17" s="22" t="s">
        <v>27</v>
      </c>
      <c r="H17" s="22" t="s">
        <v>215</v>
      </c>
      <c r="I17" s="22" t="s">
        <v>91</v>
      </c>
      <c r="J17" s="10"/>
      <c r="K17" s="22" t="s">
        <v>15</v>
      </c>
      <c r="L17" s="22" t="s">
        <v>37</v>
      </c>
      <c r="M17" s="23" t="s">
        <v>139</v>
      </c>
      <c r="N17" s="10"/>
      <c r="O17" s="22" t="s">
        <v>31</v>
      </c>
      <c r="P17" s="22" t="s">
        <v>36</v>
      </c>
      <c r="Q17" s="23" t="s">
        <v>41</v>
      </c>
      <c r="R17" s="10"/>
      <c r="S17" s="10" t="str">
        <f>"715,0"</f>
        <v>715,0</v>
      </c>
      <c r="T17" s="10" t="str">
        <f>"456,4560"</f>
        <v>456,4560</v>
      </c>
      <c r="U17" s="9" t="s">
        <v>284</v>
      </c>
    </row>
    <row r="18" spans="1:21">
      <c r="A18" s="12" t="s">
        <v>165</v>
      </c>
      <c r="B18" s="11" t="s">
        <v>285</v>
      </c>
      <c r="C18" s="11" t="s">
        <v>286</v>
      </c>
      <c r="D18" s="11" t="s">
        <v>287</v>
      </c>
      <c r="E18" s="11" t="s">
        <v>1623</v>
      </c>
      <c r="F18" s="11" t="s">
        <v>1493</v>
      </c>
      <c r="G18" s="24" t="s">
        <v>214</v>
      </c>
      <c r="H18" s="24" t="s">
        <v>91</v>
      </c>
      <c r="I18" s="25" t="s">
        <v>91</v>
      </c>
      <c r="J18" s="12"/>
      <c r="K18" s="25" t="s">
        <v>29</v>
      </c>
      <c r="L18" s="25" t="s">
        <v>37</v>
      </c>
      <c r="M18" s="25" t="s">
        <v>139</v>
      </c>
      <c r="N18" s="12"/>
      <c r="O18" s="25" t="s">
        <v>41</v>
      </c>
      <c r="P18" s="25" t="s">
        <v>81</v>
      </c>
      <c r="Q18" s="24" t="s">
        <v>83</v>
      </c>
      <c r="R18" s="12"/>
      <c r="S18" s="12" t="str">
        <f>"750,0"</f>
        <v>750,0</v>
      </c>
      <c r="T18" s="12" t="str">
        <f>"487,7250"</f>
        <v>487,7250</v>
      </c>
      <c r="U18" s="11" t="s">
        <v>264</v>
      </c>
    </row>
    <row r="19" spans="1:21">
      <c r="A19" s="12" t="s">
        <v>167</v>
      </c>
      <c r="B19" s="11" t="s">
        <v>281</v>
      </c>
      <c r="C19" s="11" t="s">
        <v>288</v>
      </c>
      <c r="D19" s="11" t="s">
        <v>283</v>
      </c>
      <c r="E19" s="11" t="s">
        <v>1623</v>
      </c>
      <c r="F19" s="11" t="s">
        <v>1508</v>
      </c>
      <c r="G19" s="25" t="s">
        <v>27</v>
      </c>
      <c r="H19" s="25" t="s">
        <v>215</v>
      </c>
      <c r="I19" s="25" t="s">
        <v>91</v>
      </c>
      <c r="J19" s="12"/>
      <c r="K19" s="25" t="s">
        <v>15</v>
      </c>
      <c r="L19" s="25" t="s">
        <v>37</v>
      </c>
      <c r="M19" s="24" t="s">
        <v>139</v>
      </c>
      <c r="N19" s="12"/>
      <c r="O19" s="25" t="s">
        <v>31</v>
      </c>
      <c r="P19" s="25" t="s">
        <v>36</v>
      </c>
      <c r="Q19" s="24" t="s">
        <v>41</v>
      </c>
      <c r="R19" s="12"/>
      <c r="S19" s="12" t="str">
        <f>"715,0"</f>
        <v>715,0</v>
      </c>
      <c r="T19" s="12" t="str">
        <f>"456,4560"</f>
        <v>456,4560</v>
      </c>
      <c r="U19" s="11" t="s">
        <v>284</v>
      </c>
    </row>
    <row r="20" spans="1:21">
      <c r="A20" s="12" t="s">
        <v>168</v>
      </c>
      <c r="B20" s="11" t="s">
        <v>289</v>
      </c>
      <c r="C20" s="11" t="s">
        <v>290</v>
      </c>
      <c r="D20" s="11" t="s">
        <v>291</v>
      </c>
      <c r="E20" s="11" t="s">
        <v>1623</v>
      </c>
      <c r="F20" s="11" t="s">
        <v>1490</v>
      </c>
      <c r="G20" s="25" t="s">
        <v>14</v>
      </c>
      <c r="H20" s="25" t="s">
        <v>29</v>
      </c>
      <c r="I20" s="25" t="s">
        <v>15</v>
      </c>
      <c r="J20" s="12"/>
      <c r="K20" s="24" t="s">
        <v>62</v>
      </c>
      <c r="L20" s="25" t="s">
        <v>62</v>
      </c>
      <c r="M20" s="25" t="s">
        <v>187</v>
      </c>
      <c r="N20" s="12"/>
      <c r="O20" s="25" t="s">
        <v>20</v>
      </c>
      <c r="P20" s="25" t="s">
        <v>21</v>
      </c>
      <c r="Q20" s="24" t="s">
        <v>61</v>
      </c>
      <c r="R20" s="12"/>
      <c r="S20" s="12" t="str">
        <f>"475,0"</f>
        <v>475,0</v>
      </c>
      <c r="T20" s="12" t="str">
        <f>"310,6500"</f>
        <v>310,6500</v>
      </c>
      <c r="U20" s="11" t="s">
        <v>264</v>
      </c>
    </row>
    <row r="21" spans="1:21">
      <c r="A21" s="14" t="s">
        <v>165</v>
      </c>
      <c r="B21" s="13" t="s">
        <v>292</v>
      </c>
      <c r="C21" s="13" t="s">
        <v>293</v>
      </c>
      <c r="D21" s="13" t="s">
        <v>294</v>
      </c>
      <c r="E21" s="13" t="s">
        <v>1624</v>
      </c>
      <c r="F21" s="13" t="s">
        <v>1616</v>
      </c>
      <c r="G21" s="27" t="s">
        <v>56</v>
      </c>
      <c r="H21" s="26" t="s">
        <v>57</v>
      </c>
      <c r="I21" s="27" t="s">
        <v>57</v>
      </c>
      <c r="J21" s="14"/>
      <c r="K21" s="27" t="s">
        <v>20</v>
      </c>
      <c r="L21" s="27" t="s">
        <v>21</v>
      </c>
      <c r="M21" s="26" t="s">
        <v>265</v>
      </c>
      <c r="N21" s="14"/>
      <c r="O21" s="27" t="s">
        <v>57</v>
      </c>
      <c r="P21" s="27" t="s">
        <v>30</v>
      </c>
      <c r="Q21" s="27" t="s">
        <v>40</v>
      </c>
      <c r="R21" s="14"/>
      <c r="S21" s="14" t="str">
        <f>"710,0"</f>
        <v>710,0</v>
      </c>
      <c r="T21" s="14" t="str">
        <f>"491,9862"</f>
        <v>491,9862</v>
      </c>
      <c r="U21" s="13" t="s">
        <v>264</v>
      </c>
    </row>
    <row r="22" spans="1:21">
      <c r="B22" s="5" t="s">
        <v>166</v>
      </c>
    </row>
    <row r="23" spans="1:21" ht="16">
      <c r="A23" s="48" t="s">
        <v>70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</row>
    <row r="24" spans="1:21">
      <c r="A24" s="10" t="s">
        <v>165</v>
      </c>
      <c r="B24" s="9" t="s">
        <v>295</v>
      </c>
      <c r="C24" s="9" t="s">
        <v>296</v>
      </c>
      <c r="D24" s="9" t="s">
        <v>297</v>
      </c>
      <c r="E24" s="9" t="s">
        <v>1626</v>
      </c>
      <c r="F24" s="9" t="s">
        <v>1509</v>
      </c>
      <c r="G24" s="22" t="s">
        <v>30</v>
      </c>
      <c r="H24" s="22" t="s">
        <v>40</v>
      </c>
      <c r="I24" s="23" t="s">
        <v>31</v>
      </c>
      <c r="J24" s="10"/>
      <c r="K24" s="22" t="s">
        <v>75</v>
      </c>
      <c r="L24" s="22" t="s">
        <v>265</v>
      </c>
      <c r="M24" s="22" t="s">
        <v>51</v>
      </c>
      <c r="N24" s="10"/>
      <c r="O24" s="22" t="s">
        <v>47</v>
      </c>
      <c r="P24" s="22" t="s">
        <v>82</v>
      </c>
      <c r="Q24" s="22" t="s">
        <v>76</v>
      </c>
      <c r="R24" s="10"/>
      <c r="S24" s="10" t="str">
        <f>"785,0"</f>
        <v>785,0</v>
      </c>
      <c r="T24" s="10" t="str">
        <f>"478,1435"</f>
        <v>478,1435</v>
      </c>
      <c r="U24" s="9" t="s">
        <v>264</v>
      </c>
    </row>
    <row r="25" spans="1:21">
      <c r="A25" s="12" t="s">
        <v>165</v>
      </c>
      <c r="B25" s="11" t="s">
        <v>298</v>
      </c>
      <c r="C25" s="11" t="s">
        <v>299</v>
      </c>
      <c r="D25" s="11" t="s">
        <v>300</v>
      </c>
      <c r="E25" s="11" t="s">
        <v>1623</v>
      </c>
      <c r="F25" s="11" t="s">
        <v>1510</v>
      </c>
      <c r="G25" s="25" t="s">
        <v>31</v>
      </c>
      <c r="H25" s="25" t="s">
        <v>32</v>
      </c>
      <c r="I25" s="25" t="s">
        <v>301</v>
      </c>
      <c r="J25" s="12"/>
      <c r="K25" s="25" t="s">
        <v>37</v>
      </c>
      <c r="L25" s="25" t="s">
        <v>20</v>
      </c>
      <c r="M25" s="24" t="s">
        <v>39</v>
      </c>
      <c r="N25" s="12"/>
      <c r="O25" s="25" t="s">
        <v>41</v>
      </c>
      <c r="P25" s="24" t="s">
        <v>116</v>
      </c>
      <c r="Q25" s="24" t="s">
        <v>116</v>
      </c>
      <c r="R25" s="12"/>
      <c r="S25" s="12" t="str">
        <f>"777,5"</f>
        <v>777,5</v>
      </c>
      <c r="T25" s="12" t="str">
        <f>"478,3180"</f>
        <v>478,3180</v>
      </c>
      <c r="U25" s="11" t="s">
        <v>1028</v>
      </c>
    </row>
    <row r="26" spans="1:21">
      <c r="A26" s="12" t="s">
        <v>167</v>
      </c>
      <c r="B26" s="11" t="s">
        <v>302</v>
      </c>
      <c r="C26" s="11" t="s">
        <v>303</v>
      </c>
      <c r="D26" s="11" t="s">
        <v>304</v>
      </c>
      <c r="E26" s="11" t="s">
        <v>1623</v>
      </c>
      <c r="F26" s="11" t="s">
        <v>1511</v>
      </c>
      <c r="G26" s="25" t="s">
        <v>27</v>
      </c>
      <c r="H26" s="25" t="s">
        <v>28</v>
      </c>
      <c r="I26" s="25" t="s">
        <v>215</v>
      </c>
      <c r="J26" s="12"/>
      <c r="K26" s="25" t="s">
        <v>37</v>
      </c>
      <c r="L26" s="24" t="s">
        <v>139</v>
      </c>
      <c r="M26" s="24" t="s">
        <v>139</v>
      </c>
      <c r="N26" s="12"/>
      <c r="O26" s="25" t="s">
        <v>31</v>
      </c>
      <c r="P26" s="25" t="s">
        <v>32</v>
      </c>
      <c r="Q26" s="24" t="s">
        <v>36</v>
      </c>
      <c r="R26" s="12"/>
      <c r="S26" s="12" t="str">
        <f>"700,0"</f>
        <v>700,0</v>
      </c>
      <c r="T26" s="12" t="str">
        <f>"427,2100"</f>
        <v>427,2100</v>
      </c>
      <c r="U26" s="11" t="s">
        <v>264</v>
      </c>
    </row>
    <row r="27" spans="1:21">
      <c r="A27" s="14" t="s">
        <v>168</v>
      </c>
      <c r="B27" s="13" t="s">
        <v>305</v>
      </c>
      <c r="C27" s="13" t="s">
        <v>306</v>
      </c>
      <c r="D27" s="13" t="s">
        <v>307</v>
      </c>
      <c r="E27" s="13" t="s">
        <v>1623</v>
      </c>
      <c r="F27" s="13" t="s">
        <v>1512</v>
      </c>
      <c r="G27" s="27" t="s">
        <v>201</v>
      </c>
      <c r="H27" s="27" t="s">
        <v>205</v>
      </c>
      <c r="I27" s="26" t="s">
        <v>53</v>
      </c>
      <c r="J27" s="14"/>
      <c r="K27" s="27" t="s">
        <v>98</v>
      </c>
      <c r="L27" s="27" t="s">
        <v>216</v>
      </c>
      <c r="M27" s="26" t="s">
        <v>14</v>
      </c>
      <c r="N27" s="14"/>
      <c r="O27" s="27" t="s">
        <v>92</v>
      </c>
      <c r="P27" s="27" t="s">
        <v>308</v>
      </c>
      <c r="Q27" s="26" t="s">
        <v>116</v>
      </c>
      <c r="R27" s="14"/>
      <c r="S27" s="14" t="str">
        <f>"672,5"</f>
        <v>672,5</v>
      </c>
      <c r="T27" s="14" t="str">
        <f>"415,0670"</f>
        <v>415,0670</v>
      </c>
      <c r="U27" s="13" t="s">
        <v>264</v>
      </c>
    </row>
    <row r="28" spans="1:21">
      <c r="B28" s="5" t="s">
        <v>166</v>
      </c>
    </row>
    <row r="29" spans="1:21" ht="16">
      <c r="A29" s="48" t="s">
        <v>99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</row>
    <row r="30" spans="1:21">
      <c r="A30" s="10" t="s">
        <v>165</v>
      </c>
      <c r="B30" s="9" t="s">
        <v>309</v>
      </c>
      <c r="C30" s="9" t="s">
        <v>310</v>
      </c>
      <c r="D30" s="9" t="s">
        <v>311</v>
      </c>
      <c r="E30" s="9" t="s">
        <v>1623</v>
      </c>
      <c r="F30" s="9" t="s">
        <v>1513</v>
      </c>
      <c r="G30" s="22" t="s">
        <v>76</v>
      </c>
      <c r="H30" s="23" t="s">
        <v>81</v>
      </c>
      <c r="I30" s="23" t="s">
        <v>81</v>
      </c>
      <c r="J30" s="10"/>
      <c r="K30" s="23" t="s">
        <v>127</v>
      </c>
      <c r="L30" s="22" t="s">
        <v>127</v>
      </c>
      <c r="M30" s="10"/>
      <c r="N30" s="10"/>
      <c r="O30" s="22" t="s">
        <v>122</v>
      </c>
      <c r="P30" s="23" t="s">
        <v>312</v>
      </c>
      <c r="Q30" s="23" t="s">
        <v>312</v>
      </c>
      <c r="R30" s="10"/>
      <c r="S30" s="10" t="str">
        <f>"860,0"</f>
        <v>860,0</v>
      </c>
      <c r="T30" s="10" t="str">
        <f>"507,4000"</f>
        <v>507,4000</v>
      </c>
      <c r="U30" s="9" t="s">
        <v>93</v>
      </c>
    </row>
    <row r="31" spans="1:21">
      <c r="A31" s="12" t="s">
        <v>167</v>
      </c>
      <c r="B31" s="11" t="s">
        <v>313</v>
      </c>
      <c r="C31" s="11" t="s">
        <v>314</v>
      </c>
      <c r="D31" s="11" t="s">
        <v>315</v>
      </c>
      <c r="E31" s="11" t="s">
        <v>1623</v>
      </c>
      <c r="F31" s="11" t="s">
        <v>1490</v>
      </c>
      <c r="G31" s="25" t="s">
        <v>91</v>
      </c>
      <c r="H31" s="25" t="s">
        <v>40</v>
      </c>
      <c r="I31" s="24" t="s">
        <v>68</v>
      </c>
      <c r="J31" s="12"/>
      <c r="K31" s="25" t="s">
        <v>29</v>
      </c>
      <c r="L31" s="25" t="s">
        <v>37</v>
      </c>
      <c r="M31" s="25" t="s">
        <v>139</v>
      </c>
      <c r="N31" s="12"/>
      <c r="O31" s="25" t="s">
        <v>68</v>
      </c>
      <c r="P31" s="25" t="s">
        <v>41</v>
      </c>
      <c r="Q31" s="24" t="s">
        <v>76</v>
      </c>
      <c r="R31" s="12"/>
      <c r="S31" s="12" t="str">
        <f>"745,0"</f>
        <v>745,0</v>
      </c>
      <c r="T31" s="12" t="str">
        <f>"442,9770"</f>
        <v>442,9770</v>
      </c>
      <c r="U31" s="11" t="s">
        <v>264</v>
      </c>
    </row>
    <row r="32" spans="1:21">
      <c r="A32" s="12" t="s">
        <v>168</v>
      </c>
      <c r="B32" s="11" t="s">
        <v>316</v>
      </c>
      <c r="C32" s="11" t="s">
        <v>317</v>
      </c>
      <c r="D32" s="11" t="s">
        <v>318</v>
      </c>
      <c r="E32" s="11" t="s">
        <v>1623</v>
      </c>
      <c r="F32" s="11" t="s">
        <v>1514</v>
      </c>
      <c r="G32" s="25" t="s">
        <v>26</v>
      </c>
      <c r="H32" s="25" t="s">
        <v>214</v>
      </c>
      <c r="I32" s="25" t="s">
        <v>57</v>
      </c>
      <c r="J32" s="12"/>
      <c r="K32" s="25" t="s">
        <v>15</v>
      </c>
      <c r="L32" s="25" t="s">
        <v>37</v>
      </c>
      <c r="M32" s="24" t="s">
        <v>139</v>
      </c>
      <c r="N32" s="12"/>
      <c r="O32" s="25" t="s">
        <v>57</v>
      </c>
      <c r="P32" s="25" t="s">
        <v>68</v>
      </c>
      <c r="Q32" s="25" t="s">
        <v>76</v>
      </c>
      <c r="R32" s="12"/>
      <c r="S32" s="12" t="str">
        <f>"730,0"</f>
        <v>730,0</v>
      </c>
      <c r="T32" s="12" t="str">
        <f>"432,7440"</f>
        <v>432,7440</v>
      </c>
      <c r="U32" s="11" t="s">
        <v>264</v>
      </c>
    </row>
    <row r="33" spans="1:21">
      <c r="A33" s="12" t="s">
        <v>170</v>
      </c>
      <c r="B33" s="11" t="s">
        <v>319</v>
      </c>
      <c r="C33" s="11" t="s">
        <v>320</v>
      </c>
      <c r="D33" s="11" t="s">
        <v>321</v>
      </c>
      <c r="E33" s="11" t="s">
        <v>1623</v>
      </c>
      <c r="F33" s="11" t="s">
        <v>1613</v>
      </c>
      <c r="G33" s="24" t="s">
        <v>215</v>
      </c>
      <c r="H33" s="24" t="s">
        <v>215</v>
      </c>
      <c r="I33" s="25" t="s">
        <v>215</v>
      </c>
      <c r="J33" s="12"/>
      <c r="K33" s="25" t="s">
        <v>19</v>
      </c>
      <c r="L33" s="25" t="s">
        <v>139</v>
      </c>
      <c r="M33" s="24" t="s">
        <v>38</v>
      </c>
      <c r="N33" s="12"/>
      <c r="O33" s="25" t="s">
        <v>121</v>
      </c>
      <c r="P33" s="24" t="s">
        <v>68</v>
      </c>
      <c r="Q33" s="12"/>
      <c r="R33" s="12"/>
      <c r="S33" s="12" t="str">
        <f>"685,0"</f>
        <v>685,0</v>
      </c>
      <c r="T33" s="12" t="str">
        <f>"410,3150"</f>
        <v>410,3150</v>
      </c>
      <c r="U33" s="11" t="s">
        <v>264</v>
      </c>
    </row>
    <row r="34" spans="1:21">
      <c r="A34" s="14" t="s">
        <v>165</v>
      </c>
      <c r="B34" s="13" t="s">
        <v>319</v>
      </c>
      <c r="C34" s="13" t="s">
        <v>322</v>
      </c>
      <c r="D34" s="13" t="s">
        <v>321</v>
      </c>
      <c r="E34" s="13" t="s">
        <v>1624</v>
      </c>
      <c r="F34" s="13" t="s">
        <v>1613</v>
      </c>
      <c r="G34" s="26" t="s">
        <v>215</v>
      </c>
      <c r="H34" s="26" t="s">
        <v>215</v>
      </c>
      <c r="I34" s="27" t="s">
        <v>215</v>
      </c>
      <c r="J34" s="14"/>
      <c r="K34" s="27" t="s">
        <v>19</v>
      </c>
      <c r="L34" s="27" t="s">
        <v>139</v>
      </c>
      <c r="M34" s="26" t="s">
        <v>38</v>
      </c>
      <c r="N34" s="14"/>
      <c r="O34" s="27" t="s">
        <v>121</v>
      </c>
      <c r="P34" s="26" t="s">
        <v>68</v>
      </c>
      <c r="Q34" s="14"/>
      <c r="R34" s="14"/>
      <c r="S34" s="14" t="str">
        <f>"685,0"</f>
        <v>685,0</v>
      </c>
      <c r="T34" s="14" t="str">
        <f>"421,8038"</f>
        <v>421,8038</v>
      </c>
      <c r="U34" s="13" t="s">
        <v>264</v>
      </c>
    </row>
    <row r="35" spans="1:21">
      <c r="B35" s="5" t="s">
        <v>166</v>
      </c>
    </row>
    <row r="36" spans="1:21" ht="16">
      <c r="A36" s="48" t="s">
        <v>109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</row>
    <row r="37" spans="1:21">
      <c r="A37" s="8" t="s">
        <v>165</v>
      </c>
      <c r="B37" s="7" t="s">
        <v>323</v>
      </c>
      <c r="C37" s="7" t="s">
        <v>324</v>
      </c>
      <c r="D37" s="7" t="s">
        <v>325</v>
      </c>
      <c r="E37" s="7" t="s">
        <v>1623</v>
      </c>
      <c r="F37" s="7" t="s">
        <v>1515</v>
      </c>
      <c r="G37" s="21" t="s">
        <v>113</v>
      </c>
      <c r="H37" s="21" t="s">
        <v>107</v>
      </c>
      <c r="I37" s="21" t="s">
        <v>326</v>
      </c>
      <c r="J37" s="8"/>
      <c r="K37" s="21" t="s">
        <v>26</v>
      </c>
      <c r="L37" s="21" t="s">
        <v>56</v>
      </c>
      <c r="M37" s="20" t="s">
        <v>27</v>
      </c>
      <c r="N37" s="8"/>
      <c r="O37" s="21" t="s">
        <v>81</v>
      </c>
      <c r="P37" s="21" t="s">
        <v>83</v>
      </c>
      <c r="Q37" s="21" t="s">
        <v>122</v>
      </c>
      <c r="R37" s="8"/>
      <c r="S37" s="8" t="str">
        <f>"950,0"</f>
        <v>950,0</v>
      </c>
      <c r="T37" s="8" t="str">
        <f>"541,3100"</f>
        <v>541,3100</v>
      </c>
      <c r="U37" s="7" t="s">
        <v>264</v>
      </c>
    </row>
    <row r="38" spans="1:21">
      <c r="B38" s="5" t="s">
        <v>166</v>
      </c>
    </row>
    <row r="39" spans="1:21" ht="16">
      <c r="A39" s="48" t="s">
        <v>132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</row>
    <row r="40" spans="1:21">
      <c r="A40" s="8" t="s">
        <v>165</v>
      </c>
      <c r="B40" s="7" t="s">
        <v>327</v>
      </c>
      <c r="C40" s="7" t="s">
        <v>328</v>
      </c>
      <c r="D40" s="7" t="s">
        <v>329</v>
      </c>
      <c r="E40" s="7" t="s">
        <v>1624</v>
      </c>
      <c r="F40" s="7" t="s">
        <v>1490</v>
      </c>
      <c r="G40" s="21" t="s">
        <v>57</v>
      </c>
      <c r="H40" s="21" t="s">
        <v>40</v>
      </c>
      <c r="I40" s="8"/>
      <c r="J40" s="8"/>
      <c r="K40" s="21" t="s">
        <v>21</v>
      </c>
      <c r="L40" s="21" t="s">
        <v>51</v>
      </c>
      <c r="M40" s="21" t="s">
        <v>127</v>
      </c>
      <c r="N40" s="8"/>
      <c r="O40" s="21" t="s">
        <v>57</v>
      </c>
      <c r="P40" s="20" t="s">
        <v>40</v>
      </c>
      <c r="Q40" s="8"/>
      <c r="R40" s="8"/>
      <c r="S40" s="8" t="str">
        <f>"730,0"</f>
        <v>730,0</v>
      </c>
      <c r="T40" s="8" t="str">
        <f>"440,0568"</f>
        <v>440,0568</v>
      </c>
      <c r="U40" s="7" t="s">
        <v>264</v>
      </c>
    </row>
    <row r="41" spans="1:21">
      <c r="B41" s="5" t="s">
        <v>166</v>
      </c>
    </row>
    <row r="42" spans="1:21" ht="16">
      <c r="A42" s="48" t="s">
        <v>330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</row>
    <row r="43" spans="1:21">
      <c r="A43" s="8" t="s">
        <v>165</v>
      </c>
      <c r="B43" s="7" t="s">
        <v>331</v>
      </c>
      <c r="C43" s="7" t="s">
        <v>332</v>
      </c>
      <c r="D43" s="7" t="s">
        <v>333</v>
      </c>
      <c r="E43" s="7" t="s">
        <v>1623</v>
      </c>
      <c r="F43" s="7" t="s">
        <v>1516</v>
      </c>
      <c r="G43" s="20" t="s">
        <v>122</v>
      </c>
      <c r="H43" s="20" t="s">
        <v>122</v>
      </c>
      <c r="I43" s="21" t="s">
        <v>122</v>
      </c>
      <c r="J43" s="8"/>
      <c r="K43" s="21" t="s">
        <v>214</v>
      </c>
      <c r="L43" s="21" t="s">
        <v>57</v>
      </c>
      <c r="M43" s="20" t="s">
        <v>30</v>
      </c>
      <c r="N43" s="8"/>
      <c r="O43" s="21" t="s">
        <v>122</v>
      </c>
      <c r="P43" s="21" t="s">
        <v>107</v>
      </c>
      <c r="Q43" s="20" t="s">
        <v>334</v>
      </c>
      <c r="R43" s="8"/>
      <c r="S43" s="8" t="str">
        <f>"960,0"</f>
        <v>960,0</v>
      </c>
      <c r="T43" s="8" t="str">
        <f>"529,3440"</f>
        <v>529,3440</v>
      </c>
      <c r="U43" s="7" t="s">
        <v>264</v>
      </c>
    </row>
    <row r="44" spans="1:21">
      <c r="B44" s="5" t="s">
        <v>166</v>
      </c>
    </row>
    <row r="46" spans="1:21">
      <c r="B46" s="5" t="s">
        <v>166</v>
      </c>
    </row>
    <row r="47" spans="1:21" ht="18">
      <c r="B47" s="15" t="s">
        <v>141</v>
      </c>
      <c r="C47" s="15"/>
    </row>
    <row r="48" spans="1:21" ht="16">
      <c r="B48" s="16" t="s">
        <v>150</v>
      </c>
      <c r="C48" s="16"/>
    </row>
    <row r="49" spans="2:6" ht="14">
      <c r="B49" s="17"/>
      <c r="C49" s="18" t="s">
        <v>143</v>
      </c>
    </row>
    <row r="50" spans="2:6" ht="14">
      <c r="B50" s="19" t="s">
        <v>144</v>
      </c>
      <c r="C50" s="19" t="s">
        <v>145</v>
      </c>
      <c r="D50" s="19" t="s">
        <v>1430</v>
      </c>
      <c r="E50" s="19" t="s">
        <v>147</v>
      </c>
      <c r="F50" s="19" t="s">
        <v>148</v>
      </c>
    </row>
    <row r="51" spans="2:6">
      <c r="B51" s="5" t="s">
        <v>323</v>
      </c>
      <c r="C51" s="5" t="s">
        <v>143</v>
      </c>
      <c r="D51" s="6" t="s">
        <v>155</v>
      </c>
      <c r="E51" s="6" t="s">
        <v>335</v>
      </c>
      <c r="F51" s="6" t="s">
        <v>336</v>
      </c>
    </row>
    <row r="52" spans="2:6">
      <c r="B52" s="5" t="s">
        <v>331</v>
      </c>
      <c r="C52" s="5" t="s">
        <v>143</v>
      </c>
      <c r="D52" s="6" t="s">
        <v>337</v>
      </c>
      <c r="E52" s="6" t="s">
        <v>338</v>
      </c>
      <c r="F52" s="6" t="s">
        <v>339</v>
      </c>
    </row>
    <row r="53" spans="2:6">
      <c r="B53" s="5" t="s">
        <v>309</v>
      </c>
      <c r="C53" s="5" t="s">
        <v>143</v>
      </c>
      <c r="D53" s="6" t="s">
        <v>152</v>
      </c>
      <c r="E53" s="6" t="s">
        <v>340</v>
      </c>
      <c r="F53" s="6" t="s">
        <v>341</v>
      </c>
    </row>
    <row r="54" spans="2:6">
      <c r="B54" s="5" t="s">
        <v>166</v>
      </c>
    </row>
  </sheetData>
  <mergeCells count="22">
    <mergeCell ref="A39:R39"/>
    <mergeCell ref="A42:R42"/>
    <mergeCell ref="B3:B4"/>
    <mergeCell ref="A8:R8"/>
    <mergeCell ref="A12:R12"/>
    <mergeCell ref="A16:R16"/>
    <mergeCell ref="A23:R23"/>
    <mergeCell ref="A29:R29"/>
    <mergeCell ref="A36:R36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U32"/>
  <sheetViews>
    <sheetView workbookViewId="0">
      <selection activeCell="E31" sqref="E31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6.1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8" width="5.5" style="6" customWidth="1"/>
    <col min="19" max="19" width="7.83203125" style="30" bestFit="1" customWidth="1"/>
    <col min="20" max="20" width="8.5" style="6" bestFit="1" customWidth="1"/>
    <col min="21" max="21" width="20.83203125" style="5" customWidth="1"/>
    <col min="22" max="16384" width="9.1640625" style="3"/>
  </cols>
  <sheetData>
    <row r="1" spans="1:21" s="2" customFormat="1" ht="29" customHeight="1">
      <c r="A1" s="35" t="s">
        <v>1471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2"/>
    </row>
    <row r="3" spans="1:21" s="1" customFormat="1" ht="12.75" customHeight="1">
      <c r="A3" s="43" t="s">
        <v>1488</v>
      </c>
      <c r="B3" s="55" t="s">
        <v>0</v>
      </c>
      <c r="C3" s="45" t="s">
        <v>1620</v>
      </c>
      <c r="D3" s="45" t="s">
        <v>5</v>
      </c>
      <c r="E3" s="47" t="s">
        <v>1621</v>
      </c>
      <c r="F3" s="47" t="s">
        <v>6</v>
      </c>
      <c r="G3" s="47" t="s">
        <v>7</v>
      </c>
      <c r="H3" s="47"/>
      <c r="I3" s="47"/>
      <c r="J3" s="47"/>
      <c r="K3" s="47" t="s">
        <v>8</v>
      </c>
      <c r="L3" s="47"/>
      <c r="M3" s="47"/>
      <c r="N3" s="47"/>
      <c r="O3" s="47" t="s">
        <v>9</v>
      </c>
      <c r="P3" s="47"/>
      <c r="Q3" s="47"/>
      <c r="R3" s="47"/>
      <c r="S3" s="49" t="s">
        <v>1</v>
      </c>
      <c r="T3" s="47" t="s">
        <v>3</v>
      </c>
      <c r="U3" s="51" t="s">
        <v>2</v>
      </c>
    </row>
    <row r="4" spans="1:21" s="1" customFormat="1" ht="21" customHeight="1" thickBot="1">
      <c r="A4" s="44"/>
      <c r="B4" s="56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46"/>
      <c r="U4" s="52"/>
    </row>
    <row r="5" spans="1:21" ht="16">
      <c r="A5" s="53" t="s">
        <v>171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1">
      <c r="A6" s="8" t="s">
        <v>165</v>
      </c>
      <c r="B6" s="7" t="s">
        <v>172</v>
      </c>
      <c r="C6" s="7" t="s">
        <v>173</v>
      </c>
      <c r="D6" s="7" t="s">
        <v>174</v>
      </c>
      <c r="E6" s="7" t="s">
        <v>1623</v>
      </c>
      <c r="F6" s="7" t="s">
        <v>1604</v>
      </c>
      <c r="G6" s="21" t="s">
        <v>175</v>
      </c>
      <c r="H6" s="21" t="s">
        <v>16</v>
      </c>
      <c r="I6" s="21" t="s">
        <v>17</v>
      </c>
      <c r="J6" s="8"/>
      <c r="K6" s="21" t="s">
        <v>176</v>
      </c>
      <c r="L6" s="21" t="s">
        <v>177</v>
      </c>
      <c r="M6" s="20" t="s">
        <v>178</v>
      </c>
      <c r="N6" s="8"/>
      <c r="O6" s="21" t="s">
        <v>179</v>
      </c>
      <c r="P6" s="21" t="s">
        <v>180</v>
      </c>
      <c r="Q6" s="21" t="s">
        <v>181</v>
      </c>
      <c r="R6" s="8"/>
      <c r="S6" s="33" t="str">
        <f>"197,5"</f>
        <v>197,5</v>
      </c>
      <c r="T6" s="8" t="str">
        <f>"238,4023"</f>
        <v>238,4023</v>
      </c>
      <c r="U6" s="7" t="s">
        <v>182</v>
      </c>
    </row>
    <row r="7" spans="1:21">
      <c r="B7" s="5" t="s">
        <v>166</v>
      </c>
    </row>
    <row r="8" spans="1:21" ht="16">
      <c r="A8" s="48" t="s">
        <v>183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21">
      <c r="A9" s="8" t="s">
        <v>165</v>
      </c>
      <c r="B9" s="29" t="s">
        <v>1429</v>
      </c>
      <c r="C9" s="7" t="s">
        <v>184</v>
      </c>
      <c r="D9" s="7" t="s">
        <v>185</v>
      </c>
      <c r="E9" s="7" t="s">
        <v>1626</v>
      </c>
      <c r="F9" s="7" t="s">
        <v>1517</v>
      </c>
      <c r="G9" s="21" t="s">
        <v>186</v>
      </c>
      <c r="H9" s="21" t="s">
        <v>62</v>
      </c>
      <c r="I9" s="20" t="s">
        <v>187</v>
      </c>
      <c r="J9" s="8"/>
      <c r="K9" s="20" t="s">
        <v>188</v>
      </c>
      <c r="L9" s="21" t="s">
        <v>188</v>
      </c>
      <c r="M9" s="21" t="s">
        <v>175</v>
      </c>
      <c r="N9" s="8"/>
      <c r="O9" s="21" t="s">
        <v>186</v>
      </c>
      <c r="P9" s="21" t="s">
        <v>187</v>
      </c>
      <c r="Q9" s="21" t="s">
        <v>97</v>
      </c>
      <c r="R9" s="20" t="s">
        <v>189</v>
      </c>
      <c r="S9" s="33" t="str">
        <f>"310,0"</f>
        <v>310,0</v>
      </c>
      <c r="T9" s="8" t="str">
        <f>"345,6190"</f>
        <v>345,6190</v>
      </c>
      <c r="U9" s="7" t="s">
        <v>190</v>
      </c>
    </row>
    <row r="10" spans="1:21">
      <c r="B10" s="5" t="s">
        <v>166</v>
      </c>
    </row>
    <row r="11" spans="1:21" ht="16">
      <c r="A11" s="48" t="s">
        <v>191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21">
      <c r="A12" s="10" t="s">
        <v>165</v>
      </c>
      <c r="B12" s="9" t="s">
        <v>192</v>
      </c>
      <c r="C12" s="9" t="s">
        <v>193</v>
      </c>
      <c r="D12" s="9" t="s">
        <v>194</v>
      </c>
      <c r="E12" s="9" t="s">
        <v>1622</v>
      </c>
      <c r="F12" s="9" t="s">
        <v>1490</v>
      </c>
      <c r="G12" s="22" t="s">
        <v>29</v>
      </c>
      <c r="H12" s="22" t="s">
        <v>37</v>
      </c>
      <c r="I12" s="23" t="s">
        <v>20</v>
      </c>
      <c r="J12" s="10"/>
      <c r="K12" s="22" t="s">
        <v>186</v>
      </c>
      <c r="L12" s="22" t="s">
        <v>62</v>
      </c>
      <c r="M12" s="23" t="s">
        <v>187</v>
      </c>
      <c r="N12" s="10"/>
      <c r="O12" s="22" t="s">
        <v>37</v>
      </c>
      <c r="P12" s="22" t="s">
        <v>21</v>
      </c>
      <c r="Q12" s="23" t="s">
        <v>52</v>
      </c>
      <c r="R12" s="10"/>
      <c r="S12" s="31" t="str">
        <f>"480,0"</f>
        <v>480,0</v>
      </c>
      <c r="T12" s="10" t="str">
        <f>"375,9360"</f>
        <v>375,9360</v>
      </c>
      <c r="U12" s="9" t="s">
        <v>264</v>
      </c>
    </row>
    <row r="13" spans="1:21">
      <c r="A13" s="14" t="s">
        <v>165</v>
      </c>
      <c r="B13" s="13" t="s">
        <v>195</v>
      </c>
      <c r="C13" s="13" t="s">
        <v>196</v>
      </c>
      <c r="D13" s="13" t="s">
        <v>197</v>
      </c>
      <c r="E13" s="13" t="s">
        <v>1623</v>
      </c>
      <c r="F13" s="13" t="s">
        <v>1490</v>
      </c>
      <c r="G13" s="27" t="s">
        <v>53</v>
      </c>
      <c r="H13" s="26" t="s">
        <v>198</v>
      </c>
      <c r="I13" s="26" t="s">
        <v>28</v>
      </c>
      <c r="J13" s="14"/>
      <c r="K13" s="27" t="s">
        <v>199</v>
      </c>
      <c r="L13" s="26" t="s">
        <v>200</v>
      </c>
      <c r="M13" s="14"/>
      <c r="N13" s="14"/>
      <c r="O13" s="27" t="s">
        <v>21</v>
      </c>
      <c r="P13" s="27" t="s">
        <v>69</v>
      </c>
      <c r="Q13" s="27" t="s">
        <v>201</v>
      </c>
      <c r="R13" s="14"/>
      <c r="S13" s="32" t="str">
        <f>"550,0"</f>
        <v>550,0</v>
      </c>
      <c r="T13" s="14" t="str">
        <f>"428,1750"</f>
        <v>428,1750</v>
      </c>
      <c r="U13" s="13" t="s">
        <v>264</v>
      </c>
    </row>
    <row r="14" spans="1:21">
      <c r="B14" s="5" t="s">
        <v>166</v>
      </c>
    </row>
    <row r="15" spans="1:21" ht="16">
      <c r="A15" s="48" t="s">
        <v>10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</row>
    <row r="16" spans="1:21">
      <c r="A16" s="8" t="s">
        <v>165</v>
      </c>
      <c r="B16" s="7" t="s">
        <v>202</v>
      </c>
      <c r="C16" s="7" t="s">
        <v>203</v>
      </c>
      <c r="D16" s="7" t="s">
        <v>35</v>
      </c>
      <c r="E16" s="7" t="s">
        <v>1623</v>
      </c>
      <c r="F16" s="7" t="s">
        <v>1518</v>
      </c>
      <c r="G16" s="21" t="s">
        <v>51</v>
      </c>
      <c r="H16" s="21" t="s">
        <v>26</v>
      </c>
      <c r="I16" s="20" t="s">
        <v>198</v>
      </c>
      <c r="J16" s="8"/>
      <c r="K16" s="21" t="s">
        <v>97</v>
      </c>
      <c r="L16" s="21" t="s">
        <v>204</v>
      </c>
      <c r="M16" s="20" t="s">
        <v>98</v>
      </c>
      <c r="N16" s="8"/>
      <c r="O16" s="21" t="s">
        <v>51</v>
      </c>
      <c r="P16" s="21" t="s">
        <v>205</v>
      </c>
      <c r="Q16" s="21" t="s">
        <v>206</v>
      </c>
      <c r="R16" s="8"/>
      <c r="S16" s="33" t="str">
        <f>"585,0"</f>
        <v>585,0</v>
      </c>
      <c r="T16" s="8" t="str">
        <f>"394,2315"</f>
        <v>394,2315</v>
      </c>
      <c r="U16" s="7" t="s">
        <v>207</v>
      </c>
    </row>
    <row r="17" spans="1:21">
      <c r="B17" s="5" t="s">
        <v>166</v>
      </c>
    </row>
    <row r="18" spans="1:21" ht="16">
      <c r="A18" s="48" t="s">
        <v>64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</row>
    <row r="19" spans="1:21">
      <c r="A19" s="10" t="s">
        <v>165</v>
      </c>
      <c r="B19" s="9" t="s">
        <v>208</v>
      </c>
      <c r="C19" s="9" t="s">
        <v>209</v>
      </c>
      <c r="D19" s="9" t="s">
        <v>210</v>
      </c>
      <c r="E19" s="9" t="s">
        <v>1623</v>
      </c>
      <c r="F19" s="9" t="s">
        <v>1605</v>
      </c>
      <c r="G19" s="23" t="s">
        <v>52</v>
      </c>
      <c r="H19" s="23" t="s">
        <v>52</v>
      </c>
      <c r="I19" s="22" t="s">
        <v>52</v>
      </c>
      <c r="J19" s="10"/>
      <c r="K19" s="22" t="s">
        <v>97</v>
      </c>
      <c r="L19" s="22" t="s">
        <v>189</v>
      </c>
      <c r="M19" s="23" t="s">
        <v>54</v>
      </c>
      <c r="N19" s="10"/>
      <c r="O19" s="22" t="s">
        <v>57</v>
      </c>
      <c r="P19" s="22" t="s">
        <v>121</v>
      </c>
      <c r="Q19" s="22" t="s">
        <v>31</v>
      </c>
      <c r="R19" s="23" t="s">
        <v>68</v>
      </c>
      <c r="S19" s="31" t="str">
        <f>"631,0"</f>
        <v>631,0</v>
      </c>
      <c r="T19" s="10" t="str">
        <f>"414,3146"</f>
        <v>414,3146</v>
      </c>
      <c r="U19" s="9" t="s">
        <v>264</v>
      </c>
    </row>
    <row r="20" spans="1:21">
      <c r="A20" s="12" t="s">
        <v>167</v>
      </c>
      <c r="B20" s="11" t="s">
        <v>211</v>
      </c>
      <c r="C20" s="11" t="s">
        <v>212</v>
      </c>
      <c r="D20" s="11" t="s">
        <v>213</v>
      </c>
      <c r="E20" s="11" t="s">
        <v>1623</v>
      </c>
      <c r="F20" s="11" t="s">
        <v>1490</v>
      </c>
      <c r="G20" s="25" t="s">
        <v>27</v>
      </c>
      <c r="H20" s="25" t="s">
        <v>214</v>
      </c>
      <c r="I20" s="24" t="s">
        <v>215</v>
      </c>
      <c r="J20" s="12"/>
      <c r="K20" s="24" t="s">
        <v>216</v>
      </c>
      <c r="L20" s="25" t="s">
        <v>216</v>
      </c>
      <c r="M20" s="24" t="s">
        <v>55</v>
      </c>
      <c r="N20" s="12"/>
      <c r="O20" s="25" t="s">
        <v>127</v>
      </c>
      <c r="P20" s="24" t="s">
        <v>52</v>
      </c>
      <c r="Q20" s="24" t="s">
        <v>52</v>
      </c>
      <c r="R20" s="12"/>
      <c r="S20" s="34" t="str">
        <f>"597,5"</f>
        <v>597,5</v>
      </c>
      <c r="T20" s="12" t="str">
        <f>"383,4158"</f>
        <v>383,4158</v>
      </c>
      <c r="U20" s="11" t="s">
        <v>264</v>
      </c>
    </row>
    <row r="21" spans="1:21">
      <c r="A21" s="12" t="s">
        <v>168</v>
      </c>
      <c r="B21" s="11" t="s">
        <v>217</v>
      </c>
      <c r="C21" s="11" t="s">
        <v>218</v>
      </c>
      <c r="D21" s="11" t="s">
        <v>219</v>
      </c>
      <c r="E21" s="11" t="s">
        <v>1623</v>
      </c>
      <c r="F21" s="11" t="s">
        <v>1519</v>
      </c>
      <c r="G21" s="25" t="s">
        <v>61</v>
      </c>
      <c r="H21" s="25" t="s">
        <v>127</v>
      </c>
      <c r="I21" s="25" t="s">
        <v>26</v>
      </c>
      <c r="J21" s="12"/>
      <c r="K21" s="25" t="s">
        <v>220</v>
      </c>
      <c r="L21" s="25" t="s">
        <v>186</v>
      </c>
      <c r="M21" s="25" t="s">
        <v>62</v>
      </c>
      <c r="N21" s="12"/>
      <c r="O21" s="25" t="s">
        <v>61</v>
      </c>
      <c r="P21" s="25" t="s">
        <v>26</v>
      </c>
      <c r="Q21" s="24" t="s">
        <v>56</v>
      </c>
      <c r="R21" s="12"/>
      <c r="S21" s="34" t="str">
        <f>"560,0"</f>
        <v>560,0</v>
      </c>
      <c r="T21" s="12" t="str">
        <f>"361,9280"</f>
        <v>361,9280</v>
      </c>
      <c r="U21" s="11" t="s">
        <v>221</v>
      </c>
    </row>
    <row r="22" spans="1:21">
      <c r="A22" s="12" t="s">
        <v>165</v>
      </c>
      <c r="B22" s="11" t="s">
        <v>208</v>
      </c>
      <c r="C22" s="11" t="s">
        <v>222</v>
      </c>
      <c r="D22" s="11" t="s">
        <v>210</v>
      </c>
      <c r="E22" s="11" t="s">
        <v>1627</v>
      </c>
      <c r="F22" s="11" t="s">
        <v>1605</v>
      </c>
      <c r="G22" s="24" t="s">
        <v>52</v>
      </c>
      <c r="H22" s="24" t="s">
        <v>52</v>
      </c>
      <c r="I22" s="25" t="s">
        <v>52</v>
      </c>
      <c r="J22" s="12"/>
      <c r="K22" s="25" t="s">
        <v>97</v>
      </c>
      <c r="L22" s="25" t="s">
        <v>189</v>
      </c>
      <c r="M22" s="24" t="s">
        <v>54</v>
      </c>
      <c r="N22" s="12"/>
      <c r="O22" s="25" t="s">
        <v>57</v>
      </c>
      <c r="P22" s="25" t="s">
        <v>121</v>
      </c>
      <c r="Q22" s="25" t="s">
        <v>31</v>
      </c>
      <c r="R22" s="24" t="s">
        <v>68</v>
      </c>
      <c r="S22" s="34" t="str">
        <f>"631,0"</f>
        <v>631,0</v>
      </c>
      <c r="T22" s="12" t="str">
        <f>"508,7783"</f>
        <v>508,7783</v>
      </c>
      <c r="U22" s="11" t="s">
        <v>264</v>
      </c>
    </row>
    <row r="23" spans="1:21">
      <c r="A23" s="14" t="s">
        <v>169</v>
      </c>
      <c r="B23" s="13" t="s">
        <v>223</v>
      </c>
      <c r="C23" s="13" t="s">
        <v>224</v>
      </c>
      <c r="D23" s="13" t="s">
        <v>225</v>
      </c>
      <c r="E23" s="13" t="s">
        <v>1627</v>
      </c>
      <c r="F23" s="13" t="s">
        <v>1520</v>
      </c>
      <c r="G23" s="26" t="s">
        <v>20</v>
      </c>
      <c r="H23" s="26" t="s">
        <v>75</v>
      </c>
      <c r="I23" s="26" t="s">
        <v>21</v>
      </c>
      <c r="J23" s="14"/>
      <c r="K23" s="26"/>
      <c r="L23" s="14"/>
      <c r="M23" s="14"/>
      <c r="N23" s="14"/>
      <c r="O23" s="26"/>
      <c r="P23" s="14"/>
      <c r="Q23" s="14"/>
      <c r="R23" s="14"/>
      <c r="S23" s="32">
        <v>0</v>
      </c>
      <c r="T23" s="14" t="str">
        <f>"0,0000"</f>
        <v>0,0000</v>
      </c>
      <c r="U23" s="13" t="s">
        <v>264</v>
      </c>
    </row>
    <row r="24" spans="1:21">
      <c r="B24" s="5" t="s">
        <v>166</v>
      </c>
    </row>
    <row r="25" spans="1:21" ht="16">
      <c r="A25" s="48" t="s">
        <v>70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</row>
    <row r="26" spans="1:21">
      <c r="A26" s="10" t="s">
        <v>165</v>
      </c>
      <c r="B26" s="9" t="s">
        <v>226</v>
      </c>
      <c r="C26" s="9" t="s">
        <v>227</v>
      </c>
      <c r="D26" s="9" t="s">
        <v>228</v>
      </c>
      <c r="E26" s="9" t="s">
        <v>1626</v>
      </c>
      <c r="F26" s="9" t="s">
        <v>1521</v>
      </c>
      <c r="G26" s="23" t="s">
        <v>19</v>
      </c>
      <c r="H26" s="22" t="s">
        <v>19</v>
      </c>
      <c r="I26" s="22" t="s">
        <v>139</v>
      </c>
      <c r="J26" s="10"/>
      <c r="K26" s="23" t="s">
        <v>229</v>
      </c>
      <c r="L26" s="22" t="s">
        <v>229</v>
      </c>
      <c r="M26" s="22" t="s">
        <v>186</v>
      </c>
      <c r="N26" s="10"/>
      <c r="O26" s="22" t="s">
        <v>61</v>
      </c>
      <c r="P26" s="22" t="s">
        <v>127</v>
      </c>
      <c r="Q26" s="22" t="s">
        <v>52</v>
      </c>
      <c r="R26" s="10"/>
      <c r="S26" s="31" t="str">
        <f>"500,0"</f>
        <v>500,0</v>
      </c>
      <c r="T26" s="10" t="str">
        <f>"309,3000"</f>
        <v>309,3000</v>
      </c>
      <c r="U26" s="9" t="s">
        <v>230</v>
      </c>
    </row>
    <row r="27" spans="1:21">
      <c r="A27" s="14" t="s">
        <v>165</v>
      </c>
      <c r="B27" s="13" t="s">
        <v>231</v>
      </c>
      <c r="C27" s="13" t="s">
        <v>232</v>
      </c>
      <c r="D27" s="13" t="s">
        <v>233</v>
      </c>
      <c r="E27" s="13" t="s">
        <v>1624</v>
      </c>
      <c r="F27" s="13" t="s">
        <v>1490</v>
      </c>
      <c r="G27" s="27" t="s">
        <v>38</v>
      </c>
      <c r="H27" s="27" t="s">
        <v>114</v>
      </c>
      <c r="I27" s="26" t="s">
        <v>69</v>
      </c>
      <c r="J27" s="14"/>
      <c r="K27" s="27" t="s">
        <v>187</v>
      </c>
      <c r="L27" s="27" t="s">
        <v>234</v>
      </c>
      <c r="M27" s="26" t="s">
        <v>98</v>
      </c>
      <c r="N27" s="14"/>
      <c r="O27" s="26" t="s">
        <v>26</v>
      </c>
      <c r="P27" s="26" t="s">
        <v>26</v>
      </c>
      <c r="Q27" s="27" t="s">
        <v>26</v>
      </c>
      <c r="R27" s="14"/>
      <c r="S27" s="32" t="str">
        <f>"545,0"</f>
        <v>545,0</v>
      </c>
      <c r="T27" s="14" t="str">
        <f>"348,3864"</f>
        <v>348,3864</v>
      </c>
      <c r="U27" s="13" t="s">
        <v>264</v>
      </c>
    </row>
    <row r="28" spans="1:21">
      <c r="B28" s="5" t="s">
        <v>166</v>
      </c>
    </row>
    <row r="29" spans="1:21" ht="16">
      <c r="A29" s="48" t="s">
        <v>99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</row>
    <row r="30" spans="1:21">
      <c r="A30" s="8" t="s">
        <v>165</v>
      </c>
      <c r="B30" s="7" t="s">
        <v>235</v>
      </c>
      <c r="C30" s="7" t="s">
        <v>236</v>
      </c>
      <c r="D30" s="7" t="s">
        <v>237</v>
      </c>
      <c r="E30" s="7" t="s">
        <v>1623</v>
      </c>
      <c r="F30" s="7" t="s">
        <v>1490</v>
      </c>
      <c r="G30" s="20" t="s">
        <v>21</v>
      </c>
      <c r="H30" s="21" t="s">
        <v>61</v>
      </c>
      <c r="I30" s="20" t="s">
        <v>52</v>
      </c>
      <c r="J30" s="8"/>
      <c r="K30" s="21" t="s">
        <v>54</v>
      </c>
      <c r="L30" s="21" t="s">
        <v>29</v>
      </c>
      <c r="M30" s="21" t="s">
        <v>238</v>
      </c>
      <c r="N30" s="8"/>
      <c r="O30" s="21" t="s">
        <v>214</v>
      </c>
      <c r="P30" s="21" t="s">
        <v>30</v>
      </c>
      <c r="Q30" s="21" t="s">
        <v>68</v>
      </c>
      <c r="R30" s="8"/>
      <c r="S30" s="33" t="str">
        <f>"647,5"</f>
        <v>647,5</v>
      </c>
      <c r="T30" s="8" t="str">
        <f>"385,6510"</f>
        <v>385,6510</v>
      </c>
      <c r="U30" s="7" t="s">
        <v>264</v>
      </c>
    </row>
    <row r="31" spans="1:21">
      <c r="B31" s="5" t="s">
        <v>166</v>
      </c>
    </row>
    <row r="32" spans="1:21">
      <c r="B32" s="5" t="s">
        <v>166</v>
      </c>
    </row>
  </sheetData>
  <mergeCells count="20">
    <mergeCell ref="A29:R29"/>
    <mergeCell ref="S3:S4"/>
    <mergeCell ref="T3:T4"/>
    <mergeCell ref="U3:U4"/>
    <mergeCell ref="A5:R5"/>
    <mergeCell ref="B3:B4"/>
    <mergeCell ref="A8:R8"/>
    <mergeCell ref="A11:R11"/>
    <mergeCell ref="A15:R15"/>
    <mergeCell ref="A18:R18"/>
    <mergeCell ref="A25:R2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Лист5">
    <pageSetUpPr fitToPage="1"/>
  </sheetPr>
  <dimension ref="A1:U50"/>
  <sheetViews>
    <sheetView topLeftCell="A15" workbookViewId="0">
      <selection activeCell="E41" sqref="E41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9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30" bestFit="1" customWidth="1"/>
    <col min="20" max="20" width="8.5" style="6" bestFit="1" customWidth="1"/>
    <col min="21" max="21" width="22.5" style="5" customWidth="1"/>
    <col min="22" max="16384" width="9.1640625" style="3"/>
  </cols>
  <sheetData>
    <row r="1" spans="1:21" s="2" customFormat="1" ht="29" customHeight="1">
      <c r="A1" s="35" t="s">
        <v>1472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2"/>
    </row>
    <row r="3" spans="1:21" s="1" customFormat="1" ht="12.75" customHeight="1">
      <c r="A3" s="43" t="s">
        <v>1488</v>
      </c>
      <c r="B3" s="55" t="s">
        <v>0</v>
      </c>
      <c r="C3" s="45" t="s">
        <v>1620</v>
      </c>
      <c r="D3" s="45" t="s">
        <v>5</v>
      </c>
      <c r="E3" s="47" t="s">
        <v>1621</v>
      </c>
      <c r="F3" s="47" t="s">
        <v>6</v>
      </c>
      <c r="G3" s="47" t="s">
        <v>7</v>
      </c>
      <c r="H3" s="47"/>
      <c r="I3" s="47"/>
      <c r="J3" s="47"/>
      <c r="K3" s="47" t="s">
        <v>8</v>
      </c>
      <c r="L3" s="47"/>
      <c r="M3" s="47"/>
      <c r="N3" s="47"/>
      <c r="O3" s="47" t="s">
        <v>9</v>
      </c>
      <c r="P3" s="47"/>
      <c r="Q3" s="47"/>
      <c r="R3" s="47"/>
      <c r="S3" s="49" t="s">
        <v>1</v>
      </c>
      <c r="T3" s="47" t="s">
        <v>3</v>
      </c>
      <c r="U3" s="51" t="s">
        <v>2</v>
      </c>
    </row>
    <row r="4" spans="1:21" s="1" customFormat="1" ht="21" customHeight="1" thickBot="1">
      <c r="A4" s="44"/>
      <c r="B4" s="56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46"/>
      <c r="U4" s="52"/>
    </row>
    <row r="5" spans="1:21" ht="16">
      <c r="A5" s="53" t="s">
        <v>10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1">
      <c r="A6" s="8" t="s">
        <v>165</v>
      </c>
      <c r="B6" s="7" t="s">
        <v>11</v>
      </c>
      <c r="C6" s="7" t="s">
        <v>12</v>
      </c>
      <c r="D6" s="7" t="s">
        <v>13</v>
      </c>
      <c r="E6" s="7" t="s">
        <v>1623</v>
      </c>
      <c r="F6" s="7" t="s">
        <v>1490</v>
      </c>
      <c r="G6" s="20" t="s">
        <v>14</v>
      </c>
      <c r="H6" s="21" t="s">
        <v>14</v>
      </c>
      <c r="I6" s="21" t="s">
        <v>15</v>
      </c>
      <c r="J6" s="8"/>
      <c r="K6" s="21" t="s">
        <v>16</v>
      </c>
      <c r="L6" s="21" t="s">
        <v>17</v>
      </c>
      <c r="M6" s="21" t="s">
        <v>18</v>
      </c>
      <c r="N6" s="8"/>
      <c r="O6" s="21" t="s">
        <v>19</v>
      </c>
      <c r="P6" s="21" t="s">
        <v>20</v>
      </c>
      <c r="Q6" s="21" t="s">
        <v>21</v>
      </c>
      <c r="R6" s="8"/>
      <c r="S6" s="33" t="str">
        <f>"425,0"</f>
        <v>425,0</v>
      </c>
      <c r="T6" s="8" t="str">
        <f>"393,3800"</f>
        <v>393,3800</v>
      </c>
      <c r="U6" s="7" t="s">
        <v>264</v>
      </c>
    </row>
    <row r="7" spans="1:21">
      <c r="B7" s="5" t="s">
        <v>166</v>
      </c>
    </row>
    <row r="8" spans="1:21" ht="16">
      <c r="A8" s="48" t="s">
        <v>22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21">
      <c r="A9" s="8" t="s">
        <v>165</v>
      </c>
      <c r="B9" s="7" t="s">
        <v>23</v>
      </c>
      <c r="C9" s="7" t="s">
        <v>24</v>
      </c>
      <c r="D9" s="7" t="s">
        <v>25</v>
      </c>
      <c r="E9" s="7" t="s">
        <v>1623</v>
      </c>
      <c r="F9" s="7" t="s">
        <v>1522</v>
      </c>
      <c r="G9" s="21" t="s">
        <v>26</v>
      </c>
      <c r="H9" s="21" t="s">
        <v>27</v>
      </c>
      <c r="I9" s="21" t="s">
        <v>28</v>
      </c>
      <c r="J9" s="8"/>
      <c r="K9" s="21" t="s">
        <v>29</v>
      </c>
      <c r="L9" s="20" t="s">
        <v>19</v>
      </c>
      <c r="M9" s="21" t="s">
        <v>19</v>
      </c>
      <c r="N9" s="8"/>
      <c r="O9" s="21" t="s">
        <v>30</v>
      </c>
      <c r="P9" s="21" t="s">
        <v>31</v>
      </c>
      <c r="Q9" s="20" t="s">
        <v>32</v>
      </c>
      <c r="R9" s="8"/>
      <c r="S9" s="33" t="str">
        <f>"682,5"</f>
        <v>682,5</v>
      </c>
      <c r="T9" s="8" t="str">
        <f>"490,9222"</f>
        <v>490,9222</v>
      </c>
      <c r="U9" s="7" t="s">
        <v>264</v>
      </c>
    </row>
    <row r="10" spans="1:21">
      <c r="B10" s="5" t="s">
        <v>166</v>
      </c>
    </row>
    <row r="11" spans="1:21" ht="16">
      <c r="A11" s="48" t="s">
        <v>10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21">
      <c r="A12" s="10" t="s">
        <v>165</v>
      </c>
      <c r="B12" s="9" t="s">
        <v>33</v>
      </c>
      <c r="C12" s="9" t="s">
        <v>34</v>
      </c>
      <c r="D12" s="9" t="s">
        <v>35</v>
      </c>
      <c r="E12" s="9" t="s">
        <v>1623</v>
      </c>
      <c r="F12" s="9" t="s">
        <v>1606</v>
      </c>
      <c r="G12" s="22" t="s">
        <v>31</v>
      </c>
      <c r="H12" s="23" t="s">
        <v>36</v>
      </c>
      <c r="I12" s="23" t="s">
        <v>36</v>
      </c>
      <c r="J12" s="10"/>
      <c r="K12" s="22" t="s">
        <v>37</v>
      </c>
      <c r="L12" s="22" t="s">
        <v>38</v>
      </c>
      <c r="M12" s="22" t="s">
        <v>39</v>
      </c>
      <c r="N12" s="10"/>
      <c r="O12" s="22" t="s">
        <v>40</v>
      </c>
      <c r="P12" s="22" t="s">
        <v>36</v>
      </c>
      <c r="Q12" s="23" t="s">
        <v>41</v>
      </c>
      <c r="R12" s="10"/>
      <c r="S12" s="31" t="str">
        <f>"752,5"</f>
        <v>752,5</v>
      </c>
      <c r="T12" s="10" t="str">
        <f>"507,1098"</f>
        <v>507,1098</v>
      </c>
      <c r="U12" s="9" t="s">
        <v>42</v>
      </c>
    </row>
    <row r="13" spans="1:21">
      <c r="A13" s="12" t="s">
        <v>167</v>
      </c>
      <c r="B13" s="11" t="s">
        <v>43</v>
      </c>
      <c r="C13" s="11" t="s">
        <v>44</v>
      </c>
      <c r="D13" s="11" t="s">
        <v>45</v>
      </c>
      <c r="E13" s="11" t="s">
        <v>1623</v>
      </c>
      <c r="F13" s="11" t="s">
        <v>1523</v>
      </c>
      <c r="G13" s="24" t="s">
        <v>26</v>
      </c>
      <c r="H13" s="25" t="s">
        <v>26</v>
      </c>
      <c r="I13" s="24" t="s">
        <v>27</v>
      </c>
      <c r="J13" s="12"/>
      <c r="K13" s="25" t="s">
        <v>19</v>
      </c>
      <c r="L13" s="25" t="s">
        <v>46</v>
      </c>
      <c r="M13" s="24" t="s">
        <v>20</v>
      </c>
      <c r="N13" s="12"/>
      <c r="O13" s="25" t="s">
        <v>31</v>
      </c>
      <c r="P13" s="25" t="s">
        <v>36</v>
      </c>
      <c r="Q13" s="24" t="s">
        <v>47</v>
      </c>
      <c r="R13" s="12"/>
      <c r="S13" s="34" t="str">
        <f>"682,5"</f>
        <v>682,5</v>
      </c>
      <c r="T13" s="12" t="str">
        <f>"460,2780"</f>
        <v>460,2780</v>
      </c>
      <c r="U13" s="11" t="s">
        <v>93</v>
      </c>
    </row>
    <row r="14" spans="1:21">
      <c r="A14" s="12" t="s">
        <v>168</v>
      </c>
      <c r="B14" s="11" t="s">
        <v>48</v>
      </c>
      <c r="C14" s="11" t="s">
        <v>49</v>
      </c>
      <c r="D14" s="11" t="s">
        <v>50</v>
      </c>
      <c r="E14" s="11" t="s">
        <v>1623</v>
      </c>
      <c r="F14" s="11" t="s">
        <v>1614</v>
      </c>
      <c r="G14" s="25" t="s">
        <v>51</v>
      </c>
      <c r="H14" s="25" t="s">
        <v>52</v>
      </c>
      <c r="I14" s="25" t="s">
        <v>53</v>
      </c>
      <c r="J14" s="12"/>
      <c r="K14" s="25" t="s">
        <v>54</v>
      </c>
      <c r="L14" s="25" t="s">
        <v>55</v>
      </c>
      <c r="M14" s="25" t="s">
        <v>15</v>
      </c>
      <c r="N14" s="12"/>
      <c r="O14" s="25" t="s">
        <v>56</v>
      </c>
      <c r="P14" s="25" t="s">
        <v>57</v>
      </c>
      <c r="Q14" s="24" t="s">
        <v>40</v>
      </c>
      <c r="R14" s="12"/>
      <c r="S14" s="34" t="str">
        <f>"635,0"</f>
        <v>635,0</v>
      </c>
      <c r="T14" s="12" t="str">
        <f>"428,5615"</f>
        <v>428,5615</v>
      </c>
      <c r="U14" s="11" t="s">
        <v>58</v>
      </c>
    </row>
    <row r="15" spans="1:21">
      <c r="A15" s="14" t="s">
        <v>169</v>
      </c>
      <c r="B15" s="13" t="s">
        <v>59</v>
      </c>
      <c r="C15" s="13" t="s">
        <v>60</v>
      </c>
      <c r="D15" s="13" t="s">
        <v>13</v>
      </c>
      <c r="E15" s="13" t="s">
        <v>1623</v>
      </c>
      <c r="F15" s="13" t="s">
        <v>1524</v>
      </c>
      <c r="G15" s="26" t="s">
        <v>61</v>
      </c>
      <c r="H15" s="26" t="s">
        <v>51</v>
      </c>
      <c r="I15" s="26" t="s">
        <v>52</v>
      </c>
      <c r="J15" s="14"/>
      <c r="K15" s="26"/>
      <c r="L15" s="14"/>
      <c r="M15" s="14"/>
      <c r="N15" s="14"/>
      <c r="O15" s="26"/>
      <c r="P15" s="14"/>
      <c r="Q15" s="14"/>
      <c r="R15" s="14"/>
      <c r="S15" s="32">
        <v>0</v>
      </c>
      <c r="T15" s="14" t="str">
        <f>"0,0000"</f>
        <v>0,0000</v>
      </c>
      <c r="U15" s="13" t="s">
        <v>63</v>
      </c>
    </row>
    <row r="16" spans="1:21">
      <c r="B16" s="5" t="s">
        <v>166</v>
      </c>
    </row>
    <row r="17" spans="1:21" ht="16">
      <c r="A17" s="48" t="s">
        <v>64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1:21">
      <c r="A18" s="8" t="s">
        <v>169</v>
      </c>
      <c r="B18" s="7" t="s">
        <v>65</v>
      </c>
      <c r="C18" s="7" t="s">
        <v>66</v>
      </c>
      <c r="D18" s="7" t="s">
        <v>67</v>
      </c>
      <c r="E18" s="7" t="s">
        <v>1623</v>
      </c>
      <c r="F18" s="7" t="s">
        <v>1522</v>
      </c>
      <c r="G18" s="20" t="s">
        <v>68</v>
      </c>
      <c r="H18" s="20" t="s">
        <v>68</v>
      </c>
      <c r="I18" s="20" t="s">
        <v>36</v>
      </c>
      <c r="J18" s="8"/>
      <c r="K18" s="20"/>
      <c r="L18" s="8"/>
      <c r="M18" s="8"/>
      <c r="N18" s="8"/>
      <c r="O18" s="20"/>
      <c r="P18" s="8"/>
      <c r="Q18" s="8"/>
      <c r="R18" s="8"/>
      <c r="S18" s="33">
        <v>0</v>
      </c>
      <c r="T18" s="8" t="str">
        <f>"0,0000"</f>
        <v>0,0000</v>
      </c>
      <c r="U18" s="7" t="s">
        <v>264</v>
      </c>
    </row>
    <row r="19" spans="1:21">
      <c r="B19" s="5" t="s">
        <v>166</v>
      </c>
    </row>
    <row r="20" spans="1:21" ht="16">
      <c r="A20" s="48" t="s">
        <v>70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</row>
    <row r="21" spans="1:21">
      <c r="A21" s="10" t="s">
        <v>165</v>
      </c>
      <c r="B21" s="9" t="s">
        <v>71</v>
      </c>
      <c r="C21" s="9" t="s">
        <v>72</v>
      </c>
      <c r="D21" s="9" t="s">
        <v>73</v>
      </c>
      <c r="E21" s="9" t="s">
        <v>1623</v>
      </c>
      <c r="F21" s="9" t="s">
        <v>1490</v>
      </c>
      <c r="G21" s="23" t="s">
        <v>31</v>
      </c>
      <c r="H21" s="22" t="s">
        <v>68</v>
      </c>
      <c r="I21" s="22" t="s">
        <v>47</v>
      </c>
      <c r="J21" s="10"/>
      <c r="K21" s="22" t="s">
        <v>37</v>
      </c>
      <c r="L21" s="22" t="s">
        <v>74</v>
      </c>
      <c r="M21" s="22" t="s">
        <v>75</v>
      </c>
      <c r="N21" s="10"/>
      <c r="O21" s="22" t="s">
        <v>32</v>
      </c>
      <c r="P21" s="22" t="s">
        <v>41</v>
      </c>
      <c r="Q21" s="23" t="s">
        <v>76</v>
      </c>
      <c r="R21" s="10"/>
      <c r="S21" s="31" t="str">
        <f>"780,0"</f>
        <v>780,0</v>
      </c>
      <c r="T21" s="10" t="str">
        <f>"480,5580"</f>
        <v>480,5580</v>
      </c>
      <c r="U21" s="9" t="s">
        <v>77</v>
      </c>
    </row>
    <row r="22" spans="1:21">
      <c r="A22" s="12" t="s">
        <v>169</v>
      </c>
      <c r="B22" s="11" t="s">
        <v>78</v>
      </c>
      <c r="C22" s="11" t="s">
        <v>79</v>
      </c>
      <c r="D22" s="11" t="s">
        <v>80</v>
      </c>
      <c r="E22" s="11" t="s">
        <v>1623</v>
      </c>
      <c r="F22" s="11" t="s">
        <v>1615</v>
      </c>
      <c r="G22" s="24" t="s">
        <v>76</v>
      </c>
      <c r="H22" s="24" t="s">
        <v>81</v>
      </c>
      <c r="I22" s="24" t="s">
        <v>81</v>
      </c>
      <c r="J22" s="12"/>
      <c r="K22" s="12"/>
      <c r="L22" s="12"/>
      <c r="M22" s="24"/>
      <c r="N22" s="12"/>
      <c r="O22" s="12"/>
      <c r="P22" s="12"/>
      <c r="Q22" s="24"/>
      <c r="R22" s="12"/>
      <c r="S22" s="34">
        <v>0</v>
      </c>
      <c r="T22" s="12" t="str">
        <f>"0,0000"</f>
        <v>0,0000</v>
      </c>
      <c r="U22" s="11" t="s">
        <v>84</v>
      </c>
    </row>
    <row r="23" spans="1:21">
      <c r="A23" s="12" t="s">
        <v>165</v>
      </c>
      <c r="B23" s="11" t="s">
        <v>85</v>
      </c>
      <c r="C23" s="11" t="s">
        <v>86</v>
      </c>
      <c r="D23" s="11" t="s">
        <v>87</v>
      </c>
      <c r="E23" s="11" t="s">
        <v>1624</v>
      </c>
      <c r="F23" s="11" t="s">
        <v>1513</v>
      </c>
      <c r="G23" s="24" t="s">
        <v>68</v>
      </c>
      <c r="H23" s="25" t="s">
        <v>68</v>
      </c>
      <c r="I23" s="24" t="s">
        <v>36</v>
      </c>
      <c r="J23" s="12"/>
      <c r="K23" s="25" t="s">
        <v>37</v>
      </c>
      <c r="L23" s="25" t="s">
        <v>20</v>
      </c>
      <c r="M23" s="24" t="s">
        <v>75</v>
      </c>
      <c r="N23" s="12"/>
      <c r="O23" s="25" t="s">
        <v>68</v>
      </c>
      <c r="P23" s="24" t="s">
        <v>36</v>
      </c>
      <c r="Q23" s="25" t="s">
        <v>36</v>
      </c>
      <c r="R23" s="12"/>
      <c r="S23" s="34" t="str">
        <f>"750,0"</f>
        <v>750,0</v>
      </c>
      <c r="T23" s="12" t="str">
        <f>"466,1105"</f>
        <v>466,1105</v>
      </c>
      <c r="U23" s="11" t="s">
        <v>264</v>
      </c>
    </row>
    <row r="24" spans="1:21">
      <c r="A24" s="12" t="s">
        <v>167</v>
      </c>
      <c r="B24" s="11" t="s">
        <v>88</v>
      </c>
      <c r="C24" s="11" t="s">
        <v>89</v>
      </c>
      <c r="D24" s="11" t="s">
        <v>90</v>
      </c>
      <c r="E24" s="11" t="s">
        <v>1624</v>
      </c>
      <c r="F24" s="11" t="s">
        <v>1513</v>
      </c>
      <c r="G24" s="24" t="s">
        <v>91</v>
      </c>
      <c r="H24" s="24" t="s">
        <v>91</v>
      </c>
      <c r="I24" s="25" t="s">
        <v>91</v>
      </c>
      <c r="J24" s="12"/>
      <c r="K24" s="25" t="s">
        <v>15</v>
      </c>
      <c r="L24" s="25" t="s">
        <v>37</v>
      </c>
      <c r="M24" s="25" t="s">
        <v>74</v>
      </c>
      <c r="N24" s="12"/>
      <c r="O24" s="25" t="s">
        <v>31</v>
      </c>
      <c r="P24" s="25" t="s">
        <v>32</v>
      </c>
      <c r="Q24" s="25" t="s">
        <v>92</v>
      </c>
      <c r="R24" s="12"/>
      <c r="S24" s="34" t="str">
        <f>"725,0"</f>
        <v>725,0</v>
      </c>
      <c r="T24" s="12" t="str">
        <f>"443,0475"</f>
        <v>443,0475</v>
      </c>
      <c r="U24" s="11" t="s">
        <v>93</v>
      </c>
    </row>
    <row r="25" spans="1:21">
      <c r="A25" s="14" t="s">
        <v>165</v>
      </c>
      <c r="B25" s="13" t="s">
        <v>94</v>
      </c>
      <c r="C25" s="13" t="s">
        <v>95</v>
      </c>
      <c r="D25" s="13" t="s">
        <v>96</v>
      </c>
      <c r="E25" s="13" t="s">
        <v>1628</v>
      </c>
      <c r="F25" s="13" t="s">
        <v>1490</v>
      </c>
      <c r="G25" s="27" t="s">
        <v>19</v>
      </c>
      <c r="H25" s="27" t="s">
        <v>75</v>
      </c>
      <c r="I25" s="26" t="s">
        <v>61</v>
      </c>
      <c r="J25" s="14"/>
      <c r="K25" s="27" t="s">
        <v>62</v>
      </c>
      <c r="L25" s="27" t="s">
        <v>97</v>
      </c>
      <c r="M25" s="26" t="s">
        <v>98</v>
      </c>
      <c r="N25" s="14"/>
      <c r="O25" s="27" t="s">
        <v>19</v>
      </c>
      <c r="P25" s="27" t="s">
        <v>75</v>
      </c>
      <c r="Q25" s="27" t="s">
        <v>61</v>
      </c>
      <c r="R25" s="14"/>
      <c r="S25" s="32" t="str">
        <f>"515,0"</f>
        <v>515,0</v>
      </c>
      <c r="T25" s="14" t="str">
        <f>"556,7305"</f>
        <v>556,7305</v>
      </c>
      <c r="U25" s="13" t="s">
        <v>264</v>
      </c>
    </row>
    <row r="26" spans="1:21">
      <c r="B26" s="5" t="s">
        <v>166</v>
      </c>
    </row>
    <row r="27" spans="1:21" ht="16">
      <c r="A27" s="48" t="s">
        <v>99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</row>
    <row r="28" spans="1:21">
      <c r="A28" s="10" t="s">
        <v>165</v>
      </c>
      <c r="B28" s="9" t="s">
        <v>100</v>
      </c>
      <c r="C28" s="9" t="s">
        <v>101</v>
      </c>
      <c r="D28" s="9" t="s">
        <v>102</v>
      </c>
      <c r="E28" s="9" t="s">
        <v>1626</v>
      </c>
      <c r="F28" s="9" t="s">
        <v>1505</v>
      </c>
      <c r="G28" s="23" t="s">
        <v>30</v>
      </c>
      <c r="H28" s="22" t="s">
        <v>30</v>
      </c>
      <c r="I28" s="23" t="s">
        <v>40</v>
      </c>
      <c r="J28" s="10"/>
      <c r="K28" s="22" t="s">
        <v>37</v>
      </c>
      <c r="L28" s="22" t="s">
        <v>20</v>
      </c>
      <c r="M28" s="22" t="s">
        <v>21</v>
      </c>
      <c r="N28" s="10"/>
      <c r="O28" s="22" t="s">
        <v>41</v>
      </c>
      <c r="P28" s="22" t="s">
        <v>76</v>
      </c>
      <c r="Q28" s="22" t="s">
        <v>81</v>
      </c>
      <c r="R28" s="10"/>
      <c r="S28" s="31" t="str">
        <f>"770,0"</f>
        <v>770,0</v>
      </c>
      <c r="T28" s="10" t="str">
        <f>"457,3030"</f>
        <v>457,3030</v>
      </c>
      <c r="U28" s="9" t="s">
        <v>264</v>
      </c>
    </row>
    <row r="29" spans="1:21">
      <c r="A29" s="14" t="s">
        <v>169</v>
      </c>
      <c r="B29" s="13" t="s">
        <v>103</v>
      </c>
      <c r="C29" s="13" t="s">
        <v>104</v>
      </c>
      <c r="D29" s="13" t="s">
        <v>105</v>
      </c>
      <c r="E29" s="13" t="s">
        <v>1623</v>
      </c>
      <c r="F29" s="13" t="s">
        <v>1490</v>
      </c>
      <c r="G29" s="26" t="s">
        <v>106</v>
      </c>
      <c r="H29" s="26" t="s">
        <v>106</v>
      </c>
      <c r="I29" s="26" t="s">
        <v>106</v>
      </c>
      <c r="J29" s="14"/>
      <c r="K29" s="26"/>
      <c r="L29" s="14"/>
      <c r="M29" s="14"/>
      <c r="N29" s="14"/>
      <c r="O29" s="26"/>
      <c r="P29" s="14"/>
      <c r="Q29" s="14"/>
      <c r="R29" s="14"/>
      <c r="S29" s="32">
        <v>0</v>
      </c>
      <c r="T29" s="14" t="str">
        <f>"0,0000"</f>
        <v>0,0000</v>
      </c>
      <c r="U29" s="13" t="s">
        <v>108</v>
      </c>
    </row>
    <row r="30" spans="1:21">
      <c r="B30" s="5" t="s">
        <v>166</v>
      </c>
    </row>
    <row r="31" spans="1:21" ht="16">
      <c r="A31" s="48" t="s">
        <v>109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1:21">
      <c r="A32" s="10" t="s">
        <v>165</v>
      </c>
      <c r="B32" s="9" t="s">
        <v>110</v>
      </c>
      <c r="C32" s="9" t="s">
        <v>111</v>
      </c>
      <c r="D32" s="9" t="s">
        <v>112</v>
      </c>
      <c r="E32" s="9" t="s">
        <v>1623</v>
      </c>
      <c r="F32" s="9" t="s">
        <v>1490</v>
      </c>
      <c r="G32" s="22" t="s">
        <v>83</v>
      </c>
      <c r="H32" s="22" t="s">
        <v>113</v>
      </c>
      <c r="I32" s="23" t="s">
        <v>107</v>
      </c>
      <c r="J32" s="10"/>
      <c r="K32" s="22" t="s">
        <v>20</v>
      </c>
      <c r="L32" s="22" t="s">
        <v>114</v>
      </c>
      <c r="M32" s="23" t="s">
        <v>115</v>
      </c>
      <c r="N32" s="10"/>
      <c r="O32" s="22" t="s">
        <v>116</v>
      </c>
      <c r="P32" s="22" t="s">
        <v>83</v>
      </c>
      <c r="Q32" s="22" t="s">
        <v>117</v>
      </c>
      <c r="R32" s="10"/>
      <c r="S32" s="31" t="str">
        <f>"885,0"</f>
        <v>885,0</v>
      </c>
      <c r="T32" s="10" t="str">
        <f>"505,3350"</f>
        <v>505,3350</v>
      </c>
      <c r="U32" s="9" t="s">
        <v>77</v>
      </c>
    </row>
    <row r="33" spans="1:21">
      <c r="A33" s="12" t="s">
        <v>167</v>
      </c>
      <c r="B33" s="11" t="s">
        <v>118</v>
      </c>
      <c r="C33" s="11" t="s">
        <v>119</v>
      </c>
      <c r="D33" s="11" t="s">
        <v>120</v>
      </c>
      <c r="E33" s="11" t="s">
        <v>1623</v>
      </c>
      <c r="F33" s="11" t="s">
        <v>1525</v>
      </c>
      <c r="G33" s="25" t="s">
        <v>57</v>
      </c>
      <c r="H33" s="25" t="s">
        <v>121</v>
      </c>
      <c r="I33" s="25" t="s">
        <v>31</v>
      </c>
      <c r="J33" s="12"/>
      <c r="K33" s="25" t="s">
        <v>20</v>
      </c>
      <c r="L33" s="25" t="s">
        <v>21</v>
      </c>
      <c r="M33" s="25" t="s">
        <v>61</v>
      </c>
      <c r="N33" s="12"/>
      <c r="O33" s="25" t="s">
        <v>41</v>
      </c>
      <c r="P33" s="25" t="s">
        <v>81</v>
      </c>
      <c r="Q33" s="24" t="s">
        <v>122</v>
      </c>
      <c r="R33" s="12"/>
      <c r="S33" s="34" t="str">
        <f>"795,0"</f>
        <v>795,0</v>
      </c>
      <c r="T33" s="12" t="str">
        <f>"457,2045"</f>
        <v>457,2045</v>
      </c>
      <c r="U33" s="11" t="s">
        <v>123</v>
      </c>
    </row>
    <row r="34" spans="1:21">
      <c r="A34" s="12" t="s">
        <v>168</v>
      </c>
      <c r="B34" s="11" t="s">
        <v>124</v>
      </c>
      <c r="C34" s="11" t="s">
        <v>125</v>
      </c>
      <c r="D34" s="11" t="s">
        <v>126</v>
      </c>
      <c r="E34" s="11" t="s">
        <v>1623</v>
      </c>
      <c r="F34" s="11" t="s">
        <v>1526</v>
      </c>
      <c r="G34" s="24" t="s">
        <v>30</v>
      </c>
      <c r="H34" s="24" t="s">
        <v>30</v>
      </c>
      <c r="I34" s="25" t="s">
        <v>30</v>
      </c>
      <c r="J34" s="12"/>
      <c r="K34" s="24" t="s">
        <v>61</v>
      </c>
      <c r="L34" s="25" t="s">
        <v>127</v>
      </c>
      <c r="M34" s="24" t="s">
        <v>52</v>
      </c>
      <c r="N34" s="12"/>
      <c r="O34" s="25" t="s">
        <v>32</v>
      </c>
      <c r="P34" s="25" t="s">
        <v>41</v>
      </c>
      <c r="Q34" s="24" t="s">
        <v>82</v>
      </c>
      <c r="R34" s="12"/>
      <c r="S34" s="34" t="str">
        <f>"770,0"</f>
        <v>770,0</v>
      </c>
      <c r="T34" s="12" t="str">
        <f>"441,9030"</f>
        <v>441,9030</v>
      </c>
      <c r="U34" s="11" t="s">
        <v>128</v>
      </c>
    </row>
    <row r="35" spans="1:21">
      <c r="A35" s="14" t="s">
        <v>170</v>
      </c>
      <c r="B35" s="13" t="s">
        <v>129</v>
      </c>
      <c r="C35" s="13" t="s">
        <v>130</v>
      </c>
      <c r="D35" s="13" t="s">
        <v>131</v>
      </c>
      <c r="E35" s="13" t="s">
        <v>1623</v>
      </c>
      <c r="F35" s="13" t="s">
        <v>1523</v>
      </c>
      <c r="G35" s="26" t="s">
        <v>30</v>
      </c>
      <c r="H35" s="26" t="s">
        <v>30</v>
      </c>
      <c r="I35" s="27" t="s">
        <v>40</v>
      </c>
      <c r="J35" s="14"/>
      <c r="K35" s="27" t="s">
        <v>61</v>
      </c>
      <c r="L35" s="27" t="s">
        <v>127</v>
      </c>
      <c r="M35" s="26" t="s">
        <v>52</v>
      </c>
      <c r="N35" s="14"/>
      <c r="O35" s="27" t="s">
        <v>26</v>
      </c>
      <c r="P35" s="27" t="s">
        <v>27</v>
      </c>
      <c r="Q35" s="14"/>
      <c r="R35" s="14"/>
      <c r="S35" s="32" t="str">
        <f>"715,0"</f>
        <v>715,0</v>
      </c>
      <c r="T35" s="14" t="str">
        <f>"411,0535"</f>
        <v>411,0535</v>
      </c>
      <c r="U35" s="13" t="s">
        <v>264</v>
      </c>
    </row>
    <row r="36" spans="1:21">
      <c r="B36" s="5" t="s">
        <v>166</v>
      </c>
    </row>
    <row r="37" spans="1:21" ht="16">
      <c r="A37" s="48" t="s">
        <v>132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</row>
    <row r="38" spans="1:21">
      <c r="A38" s="10" t="s">
        <v>165</v>
      </c>
      <c r="B38" s="9" t="s">
        <v>133</v>
      </c>
      <c r="C38" s="9" t="s">
        <v>134</v>
      </c>
      <c r="D38" s="9" t="s">
        <v>135</v>
      </c>
      <c r="E38" s="9" t="s">
        <v>1623</v>
      </c>
      <c r="F38" s="9" t="s">
        <v>1527</v>
      </c>
      <c r="G38" s="22" t="s">
        <v>40</v>
      </c>
      <c r="H38" s="23" t="s">
        <v>32</v>
      </c>
      <c r="I38" s="22" t="s">
        <v>32</v>
      </c>
      <c r="J38" s="10"/>
      <c r="K38" s="22" t="s">
        <v>37</v>
      </c>
      <c r="L38" s="22" t="s">
        <v>74</v>
      </c>
      <c r="M38" s="23" t="s">
        <v>20</v>
      </c>
      <c r="N38" s="10"/>
      <c r="O38" s="22" t="s">
        <v>40</v>
      </c>
      <c r="P38" s="22" t="s">
        <v>32</v>
      </c>
      <c r="Q38" s="23" t="s">
        <v>36</v>
      </c>
      <c r="R38" s="10"/>
      <c r="S38" s="31" t="str">
        <f>"747,5"</f>
        <v>747,5</v>
      </c>
      <c r="T38" s="10" t="str">
        <f>"420,0203"</f>
        <v>420,0203</v>
      </c>
      <c r="U38" s="9" t="s">
        <v>93</v>
      </c>
    </row>
    <row r="39" spans="1:21">
      <c r="A39" s="12" t="s">
        <v>167</v>
      </c>
      <c r="B39" s="11" t="s">
        <v>136</v>
      </c>
      <c r="C39" s="11" t="s">
        <v>137</v>
      </c>
      <c r="D39" s="11" t="s">
        <v>138</v>
      </c>
      <c r="E39" s="11" t="s">
        <v>1623</v>
      </c>
      <c r="F39" s="11" t="s">
        <v>1528</v>
      </c>
      <c r="G39" s="25" t="s">
        <v>30</v>
      </c>
      <c r="H39" s="24" t="s">
        <v>40</v>
      </c>
      <c r="I39" s="12"/>
      <c r="J39" s="12"/>
      <c r="K39" s="25" t="s">
        <v>37</v>
      </c>
      <c r="L39" s="25" t="s">
        <v>139</v>
      </c>
      <c r="M39" s="25" t="s">
        <v>20</v>
      </c>
      <c r="N39" s="12"/>
      <c r="O39" s="25" t="s">
        <v>40</v>
      </c>
      <c r="P39" s="25" t="s">
        <v>36</v>
      </c>
      <c r="Q39" s="25" t="s">
        <v>41</v>
      </c>
      <c r="R39" s="12"/>
      <c r="S39" s="34" t="str">
        <f>"740,0"</f>
        <v>740,0</v>
      </c>
      <c r="T39" s="12" t="str">
        <f>"414,7700"</f>
        <v>414,7700</v>
      </c>
      <c r="U39" s="11" t="s">
        <v>264</v>
      </c>
    </row>
    <row r="40" spans="1:21">
      <c r="A40" s="14" t="s">
        <v>165</v>
      </c>
      <c r="B40" s="13" t="s">
        <v>136</v>
      </c>
      <c r="C40" s="13" t="s">
        <v>140</v>
      </c>
      <c r="D40" s="13" t="s">
        <v>138</v>
      </c>
      <c r="E40" s="13" t="s">
        <v>1624</v>
      </c>
      <c r="F40" s="13" t="s">
        <v>1528</v>
      </c>
      <c r="G40" s="27" t="s">
        <v>30</v>
      </c>
      <c r="H40" s="26" t="s">
        <v>40</v>
      </c>
      <c r="I40" s="14"/>
      <c r="J40" s="14"/>
      <c r="K40" s="27" t="s">
        <v>37</v>
      </c>
      <c r="L40" s="27" t="s">
        <v>139</v>
      </c>
      <c r="M40" s="27" t="s">
        <v>20</v>
      </c>
      <c r="N40" s="14"/>
      <c r="O40" s="27" t="s">
        <v>40</v>
      </c>
      <c r="P40" s="27" t="s">
        <v>36</v>
      </c>
      <c r="Q40" s="27" t="s">
        <v>41</v>
      </c>
      <c r="R40" s="14"/>
      <c r="S40" s="32" t="str">
        <f>"740,0"</f>
        <v>740,0</v>
      </c>
      <c r="T40" s="14" t="str">
        <f>"416,8439"</f>
        <v>416,8439</v>
      </c>
      <c r="U40" s="13" t="s">
        <v>264</v>
      </c>
    </row>
    <row r="41" spans="1:21">
      <c r="B41" s="5" t="s">
        <v>166</v>
      </c>
    </row>
    <row r="42" spans="1:21">
      <c r="B42" s="5" t="s">
        <v>166</v>
      </c>
    </row>
    <row r="43" spans="1:21" ht="18">
      <c r="B43" s="15" t="s">
        <v>141</v>
      </c>
      <c r="C43" s="15"/>
    </row>
    <row r="44" spans="1:21" ht="16">
      <c r="B44" s="16" t="s">
        <v>150</v>
      </c>
      <c r="C44" s="16"/>
    </row>
    <row r="45" spans="1:21" ht="14">
      <c r="B45" s="17"/>
      <c r="C45" s="18" t="s">
        <v>143</v>
      </c>
    </row>
    <row r="46" spans="1:21" ht="14">
      <c r="B46" s="19" t="s">
        <v>144</v>
      </c>
      <c r="C46" s="19" t="s">
        <v>145</v>
      </c>
      <c r="D46" s="19" t="s">
        <v>1430</v>
      </c>
      <c r="E46" s="19" t="s">
        <v>147</v>
      </c>
      <c r="F46" s="19" t="s">
        <v>148</v>
      </c>
    </row>
    <row r="47" spans="1:21">
      <c r="B47" s="5" t="s">
        <v>33</v>
      </c>
      <c r="C47" s="5" t="s">
        <v>143</v>
      </c>
      <c r="D47" s="6" t="s">
        <v>149</v>
      </c>
      <c r="E47" s="6" t="s">
        <v>153</v>
      </c>
      <c r="F47" s="6" t="s">
        <v>154</v>
      </c>
    </row>
    <row r="48" spans="1:21">
      <c r="B48" s="5" t="s">
        <v>110</v>
      </c>
      <c r="C48" s="5" t="s">
        <v>143</v>
      </c>
      <c r="D48" s="6" t="s">
        <v>155</v>
      </c>
      <c r="E48" s="6" t="s">
        <v>156</v>
      </c>
      <c r="F48" s="6" t="s">
        <v>157</v>
      </c>
    </row>
    <row r="49" spans="2:6">
      <c r="B49" s="5" t="s">
        <v>23</v>
      </c>
      <c r="C49" s="5" t="s">
        <v>143</v>
      </c>
      <c r="D49" s="6" t="s">
        <v>158</v>
      </c>
      <c r="E49" s="6" t="s">
        <v>159</v>
      </c>
      <c r="F49" s="6" t="s">
        <v>160</v>
      </c>
    </row>
    <row r="50" spans="2:6">
      <c r="B50" s="5" t="s">
        <v>166</v>
      </c>
    </row>
  </sheetData>
  <mergeCells count="21">
    <mergeCell ref="A27:R27"/>
    <mergeCell ref="A31:R31"/>
    <mergeCell ref="A37:R37"/>
    <mergeCell ref="B3:B4"/>
    <mergeCell ref="A5:R5"/>
    <mergeCell ref="A8:R8"/>
    <mergeCell ref="A11:R11"/>
    <mergeCell ref="A17:R17"/>
    <mergeCell ref="A20:R20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U8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6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3" width="4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8.33203125" style="5" customWidth="1"/>
    <col min="22" max="16384" width="9.1640625" style="3"/>
  </cols>
  <sheetData>
    <row r="1" spans="1:21" s="2" customFormat="1" ht="29" customHeight="1">
      <c r="A1" s="35" t="s">
        <v>1473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2"/>
    </row>
    <row r="3" spans="1:21" s="1" customFormat="1" ht="12.75" customHeight="1">
      <c r="A3" s="43" t="s">
        <v>1488</v>
      </c>
      <c r="B3" s="55" t="s">
        <v>0</v>
      </c>
      <c r="C3" s="45" t="s">
        <v>1620</v>
      </c>
      <c r="D3" s="45" t="s">
        <v>5</v>
      </c>
      <c r="E3" s="47" t="s">
        <v>1621</v>
      </c>
      <c r="F3" s="47" t="s">
        <v>6</v>
      </c>
      <c r="G3" s="47" t="s">
        <v>7</v>
      </c>
      <c r="H3" s="47"/>
      <c r="I3" s="47"/>
      <c r="J3" s="47"/>
      <c r="K3" s="47" t="s">
        <v>8</v>
      </c>
      <c r="L3" s="47"/>
      <c r="M3" s="47"/>
      <c r="N3" s="47"/>
      <c r="O3" s="47" t="s">
        <v>9</v>
      </c>
      <c r="P3" s="47"/>
      <c r="Q3" s="47"/>
      <c r="R3" s="47"/>
      <c r="S3" s="47" t="s">
        <v>1</v>
      </c>
      <c r="T3" s="47" t="s">
        <v>3</v>
      </c>
      <c r="U3" s="51" t="s">
        <v>2</v>
      </c>
    </row>
    <row r="4" spans="1:21" s="1" customFormat="1" ht="21" customHeight="1" thickBot="1">
      <c r="A4" s="44"/>
      <c r="B4" s="56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6"/>
      <c r="T4" s="46"/>
      <c r="U4" s="52"/>
    </row>
    <row r="5" spans="1:21" ht="16">
      <c r="A5" s="53" t="s">
        <v>183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1">
      <c r="A6" s="8" t="s">
        <v>165</v>
      </c>
      <c r="B6" s="7" t="s">
        <v>248</v>
      </c>
      <c r="C6" s="7" t="s">
        <v>249</v>
      </c>
      <c r="D6" s="7" t="s">
        <v>250</v>
      </c>
      <c r="E6" s="7" t="s">
        <v>1623</v>
      </c>
      <c r="F6" s="7" t="s">
        <v>1529</v>
      </c>
      <c r="G6" s="21" t="s">
        <v>97</v>
      </c>
      <c r="H6" s="21" t="s">
        <v>204</v>
      </c>
      <c r="I6" s="21" t="s">
        <v>251</v>
      </c>
      <c r="J6" s="8"/>
      <c r="K6" s="21" t="s">
        <v>18</v>
      </c>
      <c r="L6" s="20" t="s">
        <v>252</v>
      </c>
      <c r="M6" s="20" t="s">
        <v>252</v>
      </c>
      <c r="N6" s="8"/>
      <c r="O6" s="21" t="s">
        <v>14</v>
      </c>
      <c r="P6" s="20" t="s">
        <v>253</v>
      </c>
      <c r="Q6" s="21" t="s">
        <v>253</v>
      </c>
      <c r="R6" s="8"/>
      <c r="S6" s="8" t="str">
        <f>"375,0"</f>
        <v>375,0</v>
      </c>
      <c r="T6" s="8" t="str">
        <f>"420,2625"</f>
        <v>420,2625</v>
      </c>
      <c r="U6" s="7" t="s">
        <v>254</v>
      </c>
    </row>
    <row r="7" spans="1:21">
      <c r="B7" s="5" t="s">
        <v>166</v>
      </c>
    </row>
    <row r="8" spans="1:21">
      <c r="B8" s="5" t="s">
        <v>166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U8"/>
  <sheetViews>
    <sheetView workbookViewId="0">
      <selection activeCell="E3" sqref="E3:E4"/>
    </sheetView>
  </sheetViews>
  <sheetFormatPr baseColWidth="10" defaultColWidth="9.1640625" defaultRowHeight="13"/>
  <cols>
    <col min="1" max="1" width="7.5" style="5" bestFit="1" customWidth="1"/>
    <col min="2" max="2" width="19.1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1.83203125" style="5" customWidth="1"/>
    <col min="22" max="16384" width="9.1640625" style="3"/>
  </cols>
  <sheetData>
    <row r="1" spans="1:21" s="2" customFormat="1" ht="29" customHeight="1">
      <c r="A1" s="35" t="s">
        <v>1474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2"/>
    </row>
    <row r="3" spans="1:21" s="1" customFormat="1" ht="12.75" customHeight="1">
      <c r="A3" s="43" t="s">
        <v>1488</v>
      </c>
      <c r="B3" s="55" t="s">
        <v>0</v>
      </c>
      <c r="C3" s="45" t="s">
        <v>1620</v>
      </c>
      <c r="D3" s="45" t="s">
        <v>5</v>
      </c>
      <c r="E3" s="47" t="s">
        <v>1621</v>
      </c>
      <c r="F3" s="47" t="s">
        <v>6</v>
      </c>
      <c r="G3" s="47" t="s">
        <v>7</v>
      </c>
      <c r="H3" s="47"/>
      <c r="I3" s="47"/>
      <c r="J3" s="47"/>
      <c r="K3" s="47" t="s">
        <v>8</v>
      </c>
      <c r="L3" s="47"/>
      <c r="M3" s="47"/>
      <c r="N3" s="47"/>
      <c r="O3" s="47" t="s">
        <v>9</v>
      </c>
      <c r="P3" s="47"/>
      <c r="Q3" s="47"/>
      <c r="R3" s="47"/>
      <c r="S3" s="47" t="s">
        <v>1</v>
      </c>
      <c r="T3" s="47" t="s">
        <v>3</v>
      </c>
      <c r="U3" s="51" t="s">
        <v>2</v>
      </c>
    </row>
    <row r="4" spans="1:21" s="1" customFormat="1" ht="21" customHeight="1" thickBot="1">
      <c r="A4" s="44"/>
      <c r="B4" s="56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6"/>
      <c r="T4" s="46"/>
      <c r="U4" s="52"/>
    </row>
    <row r="5" spans="1:21" ht="16">
      <c r="A5" s="53" t="s">
        <v>70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1">
      <c r="A6" s="8" t="s">
        <v>165</v>
      </c>
      <c r="B6" s="7" t="s">
        <v>246</v>
      </c>
      <c r="C6" s="7" t="s">
        <v>247</v>
      </c>
      <c r="D6" s="7" t="s">
        <v>233</v>
      </c>
      <c r="E6" s="7" t="s">
        <v>1623</v>
      </c>
      <c r="F6" s="7" t="s">
        <v>1529</v>
      </c>
      <c r="G6" s="21" t="s">
        <v>57</v>
      </c>
      <c r="H6" s="21" t="s">
        <v>30</v>
      </c>
      <c r="I6" s="21" t="s">
        <v>40</v>
      </c>
      <c r="J6" s="8"/>
      <c r="K6" s="21" t="s">
        <v>20</v>
      </c>
      <c r="L6" s="21" t="s">
        <v>21</v>
      </c>
      <c r="M6" s="21" t="s">
        <v>61</v>
      </c>
      <c r="N6" s="8"/>
      <c r="O6" s="21" t="s">
        <v>57</v>
      </c>
      <c r="P6" s="21" t="s">
        <v>40</v>
      </c>
      <c r="Q6" s="20" t="s">
        <v>68</v>
      </c>
      <c r="R6" s="8"/>
      <c r="S6" s="8" t="str">
        <f>"740,0"</f>
        <v>740,0</v>
      </c>
      <c r="T6" s="8" t="str">
        <f>"453,1020"</f>
        <v>453,1020</v>
      </c>
      <c r="U6" s="7" t="s">
        <v>264</v>
      </c>
    </row>
    <row r="7" spans="1:21">
      <c r="B7" s="5" t="s">
        <v>166</v>
      </c>
    </row>
    <row r="8" spans="1:21">
      <c r="B8" s="5" t="s">
        <v>166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45"/>
  <sheetViews>
    <sheetView workbookViewId="0">
      <selection activeCell="E36" sqref="E36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17.5" style="5" bestFit="1" customWidth="1"/>
    <col min="7" max="9" width="5.5" style="6" customWidth="1"/>
    <col min="10" max="10" width="4.83203125" style="6" customWidth="1"/>
    <col min="11" max="14" width="5.5" style="6" customWidth="1"/>
    <col min="15" max="15" width="7.83203125" style="6" bestFit="1" customWidth="1"/>
    <col min="16" max="16" width="8.5" style="6" bestFit="1" customWidth="1"/>
    <col min="17" max="17" width="22.6640625" style="5" customWidth="1"/>
    <col min="18" max="16384" width="9.1640625" style="3"/>
  </cols>
  <sheetData>
    <row r="1" spans="1:17" s="2" customFormat="1" ht="29" customHeight="1">
      <c r="A1" s="35" t="s">
        <v>1475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8"/>
    </row>
    <row r="2" spans="1:17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</row>
    <row r="3" spans="1:17" s="1" customFormat="1" ht="12.75" customHeight="1">
      <c r="A3" s="43" t="s">
        <v>1488</v>
      </c>
      <c r="B3" s="55" t="s">
        <v>0</v>
      </c>
      <c r="C3" s="45" t="s">
        <v>1620</v>
      </c>
      <c r="D3" s="45" t="s">
        <v>5</v>
      </c>
      <c r="E3" s="47" t="s">
        <v>1621</v>
      </c>
      <c r="F3" s="47" t="s">
        <v>6</v>
      </c>
      <c r="G3" s="47" t="s">
        <v>8</v>
      </c>
      <c r="H3" s="47"/>
      <c r="I3" s="47"/>
      <c r="J3" s="47"/>
      <c r="K3" s="47" t="s">
        <v>9</v>
      </c>
      <c r="L3" s="47"/>
      <c r="M3" s="47"/>
      <c r="N3" s="47"/>
      <c r="O3" s="47" t="s">
        <v>1</v>
      </c>
      <c r="P3" s="47" t="s">
        <v>3</v>
      </c>
      <c r="Q3" s="51" t="s">
        <v>2</v>
      </c>
    </row>
    <row r="4" spans="1:17" s="1" customFormat="1" ht="21" customHeight="1" thickBot="1">
      <c r="A4" s="44"/>
      <c r="B4" s="56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6"/>
      <c r="P4" s="46"/>
      <c r="Q4" s="52"/>
    </row>
    <row r="5" spans="1:17" ht="16">
      <c r="A5" s="53" t="s">
        <v>171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7">
      <c r="A6" s="8" t="s">
        <v>165</v>
      </c>
      <c r="B6" s="7" t="s">
        <v>172</v>
      </c>
      <c r="C6" s="7" t="s">
        <v>173</v>
      </c>
      <c r="D6" s="7" t="s">
        <v>174</v>
      </c>
      <c r="E6" s="7" t="s">
        <v>1623</v>
      </c>
      <c r="F6" s="7" t="s">
        <v>1604</v>
      </c>
      <c r="G6" s="21" t="s">
        <v>176</v>
      </c>
      <c r="H6" s="21" t="s">
        <v>177</v>
      </c>
      <c r="I6" s="20" t="s">
        <v>178</v>
      </c>
      <c r="J6" s="8"/>
      <c r="K6" s="21" t="s">
        <v>179</v>
      </c>
      <c r="L6" s="21" t="s">
        <v>180</v>
      </c>
      <c r="M6" s="21" t="s">
        <v>181</v>
      </c>
      <c r="N6" s="8"/>
      <c r="O6" s="8" t="str">
        <f>"127,5"</f>
        <v>127,5</v>
      </c>
      <c r="P6" s="8" t="str">
        <f>"153,9053"</f>
        <v>153,9053</v>
      </c>
      <c r="Q6" s="7" t="s">
        <v>182</v>
      </c>
    </row>
    <row r="7" spans="1:17">
      <c r="B7" s="5" t="s">
        <v>166</v>
      </c>
    </row>
    <row r="8" spans="1:17" ht="16">
      <c r="A8" s="48" t="s">
        <v>183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>
      <c r="A9" s="8" t="s">
        <v>165</v>
      </c>
      <c r="B9" s="7" t="s">
        <v>375</v>
      </c>
      <c r="C9" s="7" t="s">
        <v>376</v>
      </c>
      <c r="D9" s="7" t="s">
        <v>377</v>
      </c>
      <c r="E9" s="7" t="s">
        <v>1625</v>
      </c>
      <c r="F9" s="7" t="s">
        <v>1490</v>
      </c>
      <c r="G9" s="21" t="s">
        <v>366</v>
      </c>
      <c r="H9" s="21" t="s">
        <v>188</v>
      </c>
      <c r="I9" s="20" t="s">
        <v>175</v>
      </c>
      <c r="J9" s="8"/>
      <c r="K9" s="21" t="s">
        <v>220</v>
      </c>
      <c r="L9" s="21" t="s">
        <v>186</v>
      </c>
      <c r="M9" s="21" t="s">
        <v>62</v>
      </c>
      <c r="N9" s="8"/>
      <c r="O9" s="8" t="str">
        <f>"175,0"</f>
        <v>175,0</v>
      </c>
      <c r="P9" s="8" t="str">
        <f>"199,7800"</f>
        <v>199,7800</v>
      </c>
      <c r="Q9" s="7" t="s">
        <v>264</v>
      </c>
    </row>
    <row r="10" spans="1:17">
      <c r="B10" s="5" t="s">
        <v>166</v>
      </c>
    </row>
    <row r="11" spans="1:17" ht="16">
      <c r="A11" s="48" t="s">
        <v>171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17">
      <c r="A12" s="8" t="s">
        <v>165</v>
      </c>
      <c r="B12" s="7" t="s">
        <v>1167</v>
      </c>
      <c r="C12" s="7" t="s">
        <v>1168</v>
      </c>
      <c r="D12" s="7" t="s">
        <v>1138</v>
      </c>
      <c r="E12" s="7" t="s">
        <v>1623</v>
      </c>
      <c r="F12" s="7" t="s">
        <v>1530</v>
      </c>
      <c r="G12" s="20" t="s">
        <v>346</v>
      </c>
      <c r="H12" s="21" t="s">
        <v>346</v>
      </c>
      <c r="I12" s="20" t="s">
        <v>347</v>
      </c>
      <c r="J12" s="8"/>
      <c r="K12" s="21" t="s">
        <v>19</v>
      </c>
      <c r="L12" s="21" t="s">
        <v>1169</v>
      </c>
      <c r="M12" s="21" t="s">
        <v>20</v>
      </c>
      <c r="N12" s="8"/>
      <c r="O12" s="8" t="str">
        <f>"272,5"</f>
        <v>272,5</v>
      </c>
      <c r="P12" s="8" t="str">
        <f>"250,2640"</f>
        <v>250,2640</v>
      </c>
      <c r="Q12" s="7" t="s">
        <v>264</v>
      </c>
    </row>
    <row r="13" spans="1:17">
      <c r="B13" s="5" t="s">
        <v>166</v>
      </c>
    </row>
    <row r="14" spans="1:17" ht="16">
      <c r="A14" s="48" t="s">
        <v>22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</row>
    <row r="15" spans="1:17">
      <c r="A15" s="10" t="s">
        <v>165</v>
      </c>
      <c r="B15" s="9" t="s">
        <v>1255</v>
      </c>
      <c r="C15" s="9" t="s">
        <v>1256</v>
      </c>
      <c r="D15" s="9" t="s">
        <v>1257</v>
      </c>
      <c r="E15" s="9" t="s">
        <v>1623</v>
      </c>
      <c r="F15" s="9" t="s">
        <v>1531</v>
      </c>
      <c r="G15" s="22" t="s">
        <v>367</v>
      </c>
      <c r="H15" s="23" t="s">
        <v>199</v>
      </c>
      <c r="I15" s="23" t="s">
        <v>199</v>
      </c>
      <c r="J15" s="10"/>
      <c r="K15" s="22" t="s">
        <v>51</v>
      </c>
      <c r="L15" s="23" t="s">
        <v>127</v>
      </c>
      <c r="M15" s="23" t="s">
        <v>127</v>
      </c>
      <c r="N15" s="10"/>
      <c r="O15" s="10" t="str">
        <f>"320,0"</f>
        <v>320,0</v>
      </c>
      <c r="P15" s="10" t="str">
        <f>"228,6720"</f>
        <v>228,6720</v>
      </c>
      <c r="Q15" s="9" t="s">
        <v>264</v>
      </c>
    </row>
    <row r="16" spans="1:17">
      <c r="A16" s="14" t="s">
        <v>165</v>
      </c>
      <c r="B16" s="13" t="s">
        <v>1258</v>
      </c>
      <c r="C16" s="13" t="s">
        <v>1259</v>
      </c>
      <c r="D16" s="13" t="s">
        <v>545</v>
      </c>
      <c r="E16" s="13" t="s">
        <v>1624</v>
      </c>
      <c r="F16" s="13" t="s">
        <v>1490</v>
      </c>
      <c r="G16" s="27" t="s">
        <v>229</v>
      </c>
      <c r="H16" s="27" t="s">
        <v>186</v>
      </c>
      <c r="I16" s="26" t="s">
        <v>199</v>
      </c>
      <c r="J16" s="14"/>
      <c r="K16" s="27" t="s">
        <v>98</v>
      </c>
      <c r="L16" s="27" t="s">
        <v>216</v>
      </c>
      <c r="M16" s="27" t="s">
        <v>29</v>
      </c>
      <c r="N16" s="14"/>
      <c r="O16" s="14" t="str">
        <f>"265,0"</f>
        <v>265,0</v>
      </c>
      <c r="P16" s="14" t="str">
        <f>"190,1294"</f>
        <v>190,1294</v>
      </c>
      <c r="Q16" s="13" t="s">
        <v>264</v>
      </c>
    </row>
    <row r="17" spans="1:17">
      <c r="B17" s="5" t="s">
        <v>166</v>
      </c>
    </row>
    <row r="18" spans="1:17" ht="16">
      <c r="A18" s="48" t="s">
        <v>10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7">
      <c r="A19" s="8" t="s">
        <v>165</v>
      </c>
      <c r="B19" s="7" t="s">
        <v>1195</v>
      </c>
      <c r="C19" s="7" t="s">
        <v>1196</v>
      </c>
      <c r="D19" s="7" t="s">
        <v>1197</v>
      </c>
      <c r="E19" s="7" t="s">
        <v>1624</v>
      </c>
      <c r="F19" s="7" t="s">
        <v>1532</v>
      </c>
      <c r="G19" s="21" t="s">
        <v>229</v>
      </c>
      <c r="H19" s="21" t="s">
        <v>391</v>
      </c>
      <c r="I19" s="21" t="s">
        <v>199</v>
      </c>
      <c r="J19" s="8"/>
      <c r="K19" s="21" t="s">
        <v>21</v>
      </c>
      <c r="L19" s="21" t="s">
        <v>51</v>
      </c>
      <c r="M19" s="21" t="s">
        <v>52</v>
      </c>
      <c r="N19" s="8"/>
      <c r="O19" s="8" t="str">
        <f>"332,5"</f>
        <v>332,5</v>
      </c>
      <c r="P19" s="8" t="str">
        <f>"225,8604"</f>
        <v>225,8604</v>
      </c>
      <c r="Q19" s="7" t="s">
        <v>264</v>
      </c>
    </row>
    <row r="20" spans="1:17">
      <c r="B20" s="5" t="s">
        <v>166</v>
      </c>
    </row>
    <row r="21" spans="1:17" ht="16">
      <c r="A21" s="48" t="s">
        <v>64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</row>
    <row r="22" spans="1:17">
      <c r="A22" s="10" t="s">
        <v>165</v>
      </c>
      <c r="B22" s="9" t="s">
        <v>475</v>
      </c>
      <c r="C22" s="9" t="s">
        <v>476</v>
      </c>
      <c r="D22" s="9" t="s">
        <v>287</v>
      </c>
      <c r="E22" s="9" t="s">
        <v>1625</v>
      </c>
      <c r="F22" s="9" t="s">
        <v>1490</v>
      </c>
      <c r="G22" s="22" t="s">
        <v>252</v>
      </c>
      <c r="H22" s="22" t="s">
        <v>181</v>
      </c>
      <c r="I22" s="23" t="s">
        <v>258</v>
      </c>
      <c r="J22" s="10"/>
      <c r="K22" s="22" t="s">
        <v>54</v>
      </c>
      <c r="L22" s="23" t="s">
        <v>29</v>
      </c>
      <c r="M22" s="22" t="s">
        <v>29</v>
      </c>
      <c r="N22" s="10"/>
      <c r="O22" s="10" t="str">
        <f>"245,0"</f>
        <v>245,0</v>
      </c>
      <c r="P22" s="10" t="str">
        <f>"159,3235"</f>
        <v>159,3235</v>
      </c>
      <c r="Q22" s="9" t="s">
        <v>1260</v>
      </c>
    </row>
    <row r="23" spans="1:17">
      <c r="A23" s="12" t="s">
        <v>165</v>
      </c>
      <c r="B23" s="11" t="s">
        <v>477</v>
      </c>
      <c r="C23" s="11" t="s">
        <v>478</v>
      </c>
      <c r="D23" s="11" t="s">
        <v>479</v>
      </c>
      <c r="E23" s="11" t="s">
        <v>1622</v>
      </c>
      <c r="F23" s="11" t="s">
        <v>1615</v>
      </c>
      <c r="G23" s="25" t="s">
        <v>62</v>
      </c>
      <c r="H23" s="24" t="s">
        <v>234</v>
      </c>
      <c r="I23" s="24" t="s">
        <v>234</v>
      </c>
      <c r="J23" s="12"/>
      <c r="K23" s="25" t="s">
        <v>56</v>
      </c>
      <c r="L23" s="24" t="s">
        <v>57</v>
      </c>
      <c r="M23" s="24" t="s">
        <v>57</v>
      </c>
      <c r="N23" s="12"/>
      <c r="O23" s="12" t="str">
        <f>"350,0"</f>
        <v>350,0</v>
      </c>
      <c r="P23" s="12" t="str">
        <f>"229,2150"</f>
        <v>229,2150</v>
      </c>
      <c r="Q23" s="11" t="s">
        <v>264</v>
      </c>
    </row>
    <row r="24" spans="1:17">
      <c r="A24" s="12" t="s">
        <v>165</v>
      </c>
      <c r="B24" s="11" t="s">
        <v>1261</v>
      </c>
      <c r="C24" s="11" t="s">
        <v>1262</v>
      </c>
      <c r="D24" s="11" t="s">
        <v>287</v>
      </c>
      <c r="E24" s="11" t="s">
        <v>1626</v>
      </c>
      <c r="F24" s="11" t="s">
        <v>1490</v>
      </c>
      <c r="G24" s="25" t="s">
        <v>97</v>
      </c>
      <c r="H24" s="25" t="s">
        <v>98</v>
      </c>
      <c r="I24" s="25" t="s">
        <v>54</v>
      </c>
      <c r="J24" s="12"/>
      <c r="K24" s="25" t="s">
        <v>20</v>
      </c>
      <c r="L24" s="25" t="s">
        <v>21</v>
      </c>
      <c r="M24" s="25" t="s">
        <v>61</v>
      </c>
      <c r="N24" s="12"/>
      <c r="O24" s="12" t="str">
        <f>"345,0"</f>
        <v>345,0</v>
      </c>
      <c r="P24" s="12" t="str">
        <f>"224,3535"</f>
        <v>224,3535</v>
      </c>
      <c r="Q24" s="11" t="s">
        <v>1432</v>
      </c>
    </row>
    <row r="25" spans="1:17">
      <c r="A25" s="12" t="s">
        <v>165</v>
      </c>
      <c r="B25" s="11" t="s">
        <v>483</v>
      </c>
      <c r="C25" s="11" t="s">
        <v>484</v>
      </c>
      <c r="D25" s="11" t="s">
        <v>291</v>
      </c>
      <c r="E25" s="11" t="s">
        <v>1623</v>
      </c>
      <c r="F25" s="11" t="s">
        <v>1499</v>
      </c>
      <c r="G25" s="25" t="s">
        <v>54</v>
      </c>
      <c r="H25" s="25" t="s">
        <v>14</v>
      </c>
      <c r="I25" s="24" t="s">
        <v>55</v>
      </c>
      <c r="J25" s="12"/>
      <c r="K25" s="25" t="s">
        <v>30</v>
      </c>
      <c r="L25" s="25" t="s">
        <v>40</v>
      </c>
      <c r="M25" s="24" t="s">
        <v>31</v>
      </c>
      <c r="N25" s="12"/>
      <c r="O25" s="12" t="str">
        <f>"420,0"</f>
        <v>420,0</v>
      </c>
      <c r="P25" s="12" t="str">
        <f>"274,6800"</f>
        <v>274,6800</v>
      </c>
      <c r="Q25" s="11" t="s">
        <v>264</v>
      </c>
    </row>
    <row r="26" spans="1:17">
      <c r="A26" s="12" t="s">
        <v>167</v>
      </c>
      <c r="B26" s="11" t="s">
        <v>487</v>
      </c>
      <c r="C26" s="11" t="s">
        <v>488</v>
      </c>
      <c r="D26" s="11" t="s">
        <v>489</v>
      </c>
      <c r="E26" s="11" t="s">
        <v>1623</v>
      </c>
      <c r="F26" s="11" t="s">
        <v>1498</v>
      </c>
      <c r="G26" s="25" t="s">
        <v>98</v>
      </c>
      <c r="H26" s="25" t="s">
        <v>14</v>
      </c>
      <c r="I26" s="25" t="s">
        <v>29</v>
      </c>
      <c r="J26" s="12"/>
      <c r="K26" s="25" t="s">
        <v>57</v>
      </c>
      <c r="L26" s="25" t="s">
        <v>30</v>
      </c>
      <c r="M26" s="25" t="s">
        <v>121</v>
      </c>
      <c r="N26" s="12"/>
      <c r="O26" s="12" t="str">
        <f>"420,0"</f>
        <v>420,0</v>
      </c>
      <c r="P26" s="12" t="str">
        <f>"270,7740"</f>
        <v>270,7740</v>
      </c>
      <c r="Q26" s="11" t="s">
        <v>264</v>
      </c>
    </row>
    <row r="27" spans="1:17">
      <c r="A27" s="12" t="s">
        <v>168</v>
      </c>
      <c r="B27" s="11" t="s">
        <v>208</v>
      </c>
      <c r="C27" s="11" t="s">
        <v>209</v>
      </c>
      <c r="D27" s="11" t="s">
        <v>210</v>
      </c>
      <c r="E27" s="11" t="s">
        <v>1623</v>
      </c>
      <c r="F27" s="11" t="s">
        <v>1605</v>
      </c>
      <c r="G27" s="25" t="s">
        <v>97</v>
      </c>
      <c r="H27" s="25" t="s">
        <v>189</v>
      </c>
      <c r="I27" s="24" t="s">
        <v>54</v>
      </c>
      <c r="J27" s="12"/>
      <c r="K27" s="25" t="s">
        <v>57</v>
      </c>
      <c r="L27" s="25" t="s">
        <v>121</v>
      </c>
      <c r="M27" s="25" t="s">
        <v>31</v>
      </c>
      <c r="N27" s="24" t="s">
        <v>68</v>
      </c>
      <c r="O27" s="12" t="str">
        <f>"416,0"</f>
        <v>416,0</v>
      </c>
      <c r="P27" s="12" t="str">
        <f>"273,1456"</f>
        <v>273,1456</v>
      </c>
      <c r="Q27" s="11" t="s">
        <v>264</v>
      </c>
    </row>
    <row r="28" spans="1:17">
      <c r="A28" s="14" t="s">
        <v>170</v>
      </c>
      <c r="B28" s="13" t="s">
        <v>485</v>
      </c>
      <c r="C28" s="13" t="s">
        <v>486</v>
      </c>
      <c r="D28" s="13" t="s">
        <v>67</v>
      </c>
      <c r="E28" s="13" t="s">
        <v>1623</v>
      </c>
      <c r="F28" s="13" t="s">
        <v>1500</v>
      </c>
      <c r="G28" s="27" t="s">
        <v>54</v>
      </c>
      <c r="H28" s="26" t="s">
        <v>14</v>
      </c>
      <c r="I28" s="26" t="s">
        <v>14</v>
      </c>
      <c r="J28" s="14"/>
      <c r="K28" s="27" t="s">
        <v>57</v>
      </c>
      <c r="L28" s="27" t="s">
        <v>40</v>
      </c>
      <c r="M28" s="26" t="s">
        <v>68</v>
      </c>
      <c r="N28" s="14"/>
      <c r="O28" s="14" t="str">
        <f>"415,0"</f>
        <v>415,0</v>
      </c>
      <c r="P28" s="14" t="str">
        <f>"266,1395"</f>
        <v>266,1395</v>
      </c>
      <c r="Q28" s="13" t="s">
        <v>264</v>
      </c>
    </row>
    <row r="29" spans="1:17">
      <c r="B29" s="5" t="s">
        <v>166</v>
      </c>
    </row>
    <row r="30" spans="1:17" ht="16">
      <c r="A30" s="48" t="s">
        <v>70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</row>
    <row r="31" spans="1:17">
      <c r="A31" s="10" t="s">
        <v>165</v>
      </c>
      <c r="B31" s="9" t="s">
        <v>1263</v>
      </c>
      <c r="C31" s="9" t="s">
        <v>1264</v>
      </c>
      <c r="D31" s="9" t="s">
        <v>1265</v>
      </c>
      <c r="E31" s="9" t="s">
        <v>1623</v>
      </c>
      <c r="F31" s="9" t="s">
        <v>1533</v>
      </c>
      <c r="G31" s="22" t="s">
        <v>62</v>
      </c>
      <c r="H31" s="22" t="s">
        <v>97</v>
      </c>
      <c r="I31" s="23" t="s">
        <v>98</v>
      </c>
      <c r="J31" s="10"/>
      <c r="K31" s="22" t="s">
        <v>20</v>
      </c>
      <c r="L31" s="22" t="s">
        <v>61</v>
      </c>
      <c r="M31" s="22" t="s">
        <v>26</v>
      </c>
      <c r="N31" s="10"/>
      <c r="O31" s="10" t="str">
        <f>"350,0"</f>
        <v>350,0</v>
      </c>
      <c r="P31" s="10" t="str">
        <f>"219,2050"</f>
        <v>219,2050</v>
      </c>
      <c r="Q31" s="9" t="s">
        <v>264</v>
      </c>
    </row>
    <row r="32" spans="1:17">
      <c r="A32" s="14" t="s">
        <v>165</v>
      </c>
      <c r="B32" s="13" t="s">
        <v>502</v>
      </c>
      <c r="C32" s="13" t="s">
        <v>503</v>
      </c>
      <c r="D32" s="13" t="s">
        <v>504</v>
      </c>
      <c r="E32" s="13" t="s">
        <v>1624</v>
      </c>
      <c r="F32" s="13" t="s">
        <v>1503</v>
      </c>
      <c r="G32" s="27" t="s">
        <v>187</v>
      </c>
      <c r="H32" s="27" t="s">
        <v>234</v>
      </c>
      <c r="I32" s="26" t="s">
        <v>98</v>
      </c>
      <c r="J32" s="14"/>
      <c r="K32" s="26" t="s">
        <v>20</v>
      </c>
      <c r="L32" s="27" t="s">
        <v>20</v>
      </c>
      <c r="M32" s="27" t="s">
        <v>265</v>
      </c>
      <c r="N32" s="14"/>
      <c r="O32" s="14" t="str">
        <f>"327,5"</f>
        <v>327,5</v>
      </c>
      <c r="P32" s="14" t="str">
        <f>"207,5212"</f>
        <v>207,5212</v>
      </c>
      <c r="Q32" s="13" t="s">
        <v>264</v>
      </c>
    </row>
    <row r="33" spans="1:17">
      <c r="B33" s="5" t="s">
        <v>166</v>
      </c>
    </row>
    <row r="34" spans="1:17" ht="16">
      <c r="A34" s="48" t="s">
        <v>99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1:17">
      <c r="A35" s="8" t="s">
        <v>165</v>
      </c>
      <c r="B35" s="7" t="s">
        <v>509</v>
      </c>
      <c r="C35" s="7" t="s">
        <v>510</v>
      </c>
      <c r="D35" s="7" t="s">
        <v>511</v>
      </c>
      <c r="E35" s="7" t="s">
        <v>1623</v>
      </c>
      <c r="F35" s="7" t="s">
        <v>1505</v>
      </c>
      <c r="G35" s="21" t="s">
        <v>15</v>
      </c>
      <c r="H35" s="21" t="s">
        <v>238</v>
      </c>
      <c r="I35" s="20" t="s">
        <v>46</v>
      </c>
      <c r="J35" s="8"/>
      <c r="K35" s="21" t="s">
        <v>127</v>
      </c>
      <c r="L35" s="21" t="s">
        <v>56</v>
      </c>
      <c r="M35" s="21" t="s">
        <v>214</v>
      </c>
      <c r="N35" s="8"/>
      <c r="O35" s="8" t="str">
        <f>"407,5"</f>
        <v>407,5</v>
      </c>
      <c r="P35" s="8" t="str">
        <f>"241,4030"</f>
        <v>241,4030</v>
      </c>
      <c r="Q35" s="7" t="s">
        <v>264</v>
      </c>
    </row>
    <row r="36" spans="1:17">
      <c r="B36" s="5" t="s">
        <v>166</v>
      </c>
    </row>
    <row r="39" spans="1:17" ht="18">
      <c r="B39" s="15" t="s">
        <v>141</v>
      </c>
      <c r="C39" s="15"/>
    </row>
    <row r="40" spans="1:17" ht="16">
      <c r="B40" s="16" t="s">
        <v>150</v>
      </c>
      <c r="C40" s="16"/>
    </row>
    <row r="41" spans="1:17" ht="14">
      <c r="B41" s="17"/>
      <c r="C41" s="18" t="s">
        <v>143</v>
      </c>
    </row>
    <row r="42" spans="1:17" ht="14">
      <c r="B42" s="19" t="s">
        <v>144</v>
      </c>
      <c r="C42" s="19" t="s">
        <v>145</v>
      </c>
      <c r="D42" s="19" t="s">
        <v>1430</v>
      </c>
      <c r="E42" s="19" t="s">
        <v>147</v>
      </c>
      <c r="F42" s="19" t="s">
        <v>148</v>
      </c>
    </row>
    <row r="43" spans="1:17">
      <c r="B43" s="5" t="s">
        <v>483</v>
      </c>
      <c r="C43" s="5" t="s">
        <v>143</v>
      </c>
      <c r="D43" s="6" t="s">
        <v>244</v>
      </c>
      <c r="E43" s="6" t="s">
        <v>536</v>
      </c>
      <c r="F43" s="6" t="s">
        <v>1266</v>
      </c>
    </row>
    <row r="44" spans="1:17">
      <c r="B44" s="5" t="s">
        <v>208</v>
      </c>
      <c r="C44" s="5" t="s">
        <v>143</v>
      </c>
      <c r="D44" s="6" t="s">
        <v>244</v>
      </c>
      <c r="E44" s="6" t="s">
        <v>1267</v>
      </c>
      <c r="F44" s="6" t="s">
        <v>1268</v>
      </c>
    </row>
    <row r="45" spans="1:17">
      <c r="B45" s="5" t="s">
        <v>487</v>
      </c>
      <c r="C45" s="5" t="s">
        <v>143</v>
      </c>
      <c r="D45" s="6" t="s">
        <v>244</v>
      </c>
      <c r="E45" s="6" t="s">
        <v>536</v>
      </c>
      <c r="F45" s="6" t="s">
        <v>1269</v>
      </c>
    </row>
  </sheetData>
  <mergeCells count="20">
    <mergeCell ref="A34:N34"/>
    <mergeCell ref="B3:B4"/>
    <mergeCell ref="A8:N8"/>
    <mergeCell ref="A11:N11"/>
    <mergeCell ref="A14:N14"/>
    <mergeCell ref="A18:N18"/>
    <mergeCell ref="A21:N21"/>
    <mergeCell ref="A30:N30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2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3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1.16406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2.83203125" style="5" customWidth="1"/>
    <col min="18" max="16384" width="9.1640625" style="3"/>
  </cols>
  <sheetData>
    <row r="1" spans="1:17" s="2" customFormat="1" ht="29" customHeight="1">
      <c r="A1" s="35" t="s">
        <v>1476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8"/>
    </row>
    <row r="2" spans="1:17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</row>
    <row r="3" spans="1:17" s="1" customFormat="1" ht="12.75" customHeight="1">
      <c r="A3" s="43" t="s">
        <v>1488</v>
      </c>
      <c r="B3" s="55" t="s">
        <v>0</v>
      </c>
      <c r="C3" s="45" t="s">
        <v>1620</v>
      </c>
      <c r="D3" s="45" t="s">
        <v>5</v>
      </c>
      <c r="E3" s="47" t="s">
        <v>1621</v>
      </c>
      <c r="F3" s="47" t="s">
        <v>6</v>
      </c>
      <c r="G3" s="47" t="s">
        <v>8</v>
      </c>
      <c r="H3" s="47"/>
      <c r="I3" s="47"/>
      <c r="J3" s="47"/>
      <c r="K3" s="47" t="s">
        <v>9</v>
      </c>
      <c r="L3" s="47"/>
      <c r="M3" s="47"/>
      <c r="N3" s="47"/>
      <c r="O3" s="47" t="s">
        <v>1</v>
      </c>
      <c r="P3" s="47" t="s">
        <v>3</v>
      </c>
      <c r="Q3" s="51" t="s">
        <v>2</v>
      </c>
    </row>
    <row r="4" spans="1:17" s="1" customFormat="1" ht="21" customHeight="1" thickBot="1">
      <c r="A4" s="44"/>
      <c r="B4" s="56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6"/>
      <c r="P4" s="46"/>
      <c r="Q4" s="52"/>
    </row>
    <row r="5" spans="1:17" ht="16">
      <c r="A5" s="53" t="s">
        <v>183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7">
      <c r="A6" s="8" t="s">
        <v>165</v>
      </c>
      <c r="B6" s="7" t="s">
        <v>1241</v>
      </c>
      <c r="C6" s="7" t="s">
        <v>1242</v>
      </c>
      <c r="D6" s="7" t="s">
        <v>593</v>
      </c>
      <c r="E6" s="7" t="s">
        <v>1629</v>
      </c>
      <c r="F6" s="7" t="s">
        <v>1506</v>
      </c>
      <c r="G6" s="21" t="s">
        <v>354</v>
      </c>
      <c r="H6" s="21" t="s">
        <v>366</v>
      </c>
      <c r="I6" s="21" t="s">
        <v>716</v>
      </c>
      <c r="J6" s="8"/>
      <c r="K6" s="21" t="s">
        <v>186</v>
      </c>
      <c r="L6" s="21" t="s">
        <v>367</v>
      </c>
      <c r="M6" s="21" t="s">
        <v>62</v>
      </c>
      <c r="N6" s="8"/>
      <c r="O6" s="8" t="str">
        <f>"172,5"</f>
        <v>172,5</v>
      </c>
      <c r="P6" s="8" t="str">
        <f>"271,4008"</f>
        <v>271,4008</v>
      </c>
      <c r="Q6" s="7" t="s">
        <v>1433</v>
      </c>
    </row>
    <row r="7" spans="1:17">
      <c r="B7" s="5" t="s">
        <v>166</v>
      </c>
    </row>
    <row r="8" spans="1:17" ht="16">
      <c r="A8" s="48" t="s">
        <v>171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>
      <c r="A9" s="8" t="s">
        <v>165</v>
      </c>
      <c r="B9" s="7" t="s">
        <v>1243</v>
      </c>
      <c r="C9" s="7" t="s">
        <v>1244</v>
      </c>
      <c r="D9" s="7" t="s">
        <v>1245</v>
      </c>
      <c r="E9" s="7" t="s">
        <v>1625</v>
      </c>
      <c r="F9" s="7" t="s">
        <v>1534</v>
      </c>
      <c r="G9" s="21" t="s">
        <v>348</v>
      </c>
      <c r="H9" s="21" t="s">
        <v>349</v>
      </c>
      <c r="I9" s="21" t="s">
        <v>1246</v>
      </c>
      <c r="J9" s="8"/>
      <c r="K9" s="21" t="s">
        <v>716</v>
      </c>
      <c r="L9" s="21" t="s">
        <v>175</v>
      </c>
      <c r="M9" s="21" t="s">
        <v>16</v>
      </c>
      <c r="N9" s="21" t="s">
        <v>17</v>
      </c>
      <c r="O9" s="8" t="str">
        <f>"111,0"</f>
        <v>111,0</v>
      </c>
      <c r="P9" s="8" t="str">
        <f>"104,7729"</f>
        <v>104,7729</v>
      </c>
      <c r="Q9" s="7" t="s">
        <v>264</v>
      </c>
    </row>
    <row r="10" spans="1:17">
      <c r="B10" s="5" t="s">
        <v>166</v>
      </c>
    </row>
    <row r="11" spans="1:17" ht="16">
      <c r="A11" s="48" t="s">
        <v>10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17">
      <c r="A12" s="10" t="s">
        <v>165</v>
      </c>
      <c r="B12" s="9" t="s">
        <v>43</v>
      </c>
      <c r="C12" s="9" t="s">
        <v>44</v>
      </c>
      <c r="D12" s="9" t="s">
        <v>45</v>
      </c>
      <c r="E12" s="9" t="s">
        <v>1623</v>
      </c>
      <c r="F12" s="9" t="s">
        <v>1523</v>
      </c>
      <c r="G12" s="22" t="s">
        <v>19</v>
      </c>
      <c r="H12" s="22" t="s">
        <v>46</v>
      </c>
      <c r="I12" s="23" t="s">
        <v>20</v>
      </c>
      <c r="J12" s="10"/>
      <c r="K12" s="22" t="s">
        <v>31</v>
      </c>
      <c r="L12" s="22" t="s">
        <v>36</v>
      </c>
      <c r="M12" s="23" t="s">
        <v>47</v>
      </c>
      <c r="N12" s="10"/>
      <c r="O12" s="10" t="str">
        <f>"462,5"</f>
        <v>462,5</v>
      </c>
      <c r="P12" s="10" t="str">
        <f>"311,9100"</f>
        <v>311,9100</v>
      </c>
      <c r="Q12" s="9" t="s">
        <v>93</v>
      </c>
    </row>
    <row r="13" spans="1:17">
      <c r="A13" s="12" t="s">
        <v>167</v>
      </c>
      <c r="B13" s="11" t="s">
        <v>48</v>
      </c>
      <c r="C13" s="11" t="s">
        <v>49</v>
      </c>
      <c r="D13" s="11" t="s">
        <v>50</v>
      </c>
      <c r="E13" s="11" t="s">
        <v>1623</v>
      </c>
      <c r="F13" s="11" t="s">
        <v>1614</v>
      </c>
      <c r="G13" s="25" t="s">
        <v>54</v>
      </c>
      <c r="H13" s="25" t="s">
        <v>55</v>
      </c>
      <c r="I13" s="25" t="s">
        <v>15</v>
      </c>
      <c r="J13" s="12"/>
      <c r="K13" s="25" t="s">
        <v>56</v>
      </c>
      <c r="L13" s="25" t="s">
        <v>57</v>
      </c>
      <c r="M13" s="24" t="s">
        <v>40</v>
      </c>
      <c r="N13" s="12"/>
      <c r="O13" s="12" t="str">
        <f>"410,0"</f>
        <v>410,0</v>
      </c>
      <c r="P13" s="12" t="str">
        <f>"276,7090"</f>
        <v>276,7090</v>
      </c>
      <c r="Q13" s="11" t="s">
        <v>58</v>
      </c>
    </row>
    <row r="14" spans="1:17">
      <c r="A14" s="14" t="s">
        <v>165</v>
      </c>
      <c r="B14" s="13" t="s">
        <v>621</v>
      </c>
      <c r="C14" s="13" t="s">
        <v>622</v>
      </c>
      <c r="D14" s="13" t="s">
        <v>550</v>
      </c>
      <c r="E14" s="13" t="s">
        <v>1624</v>
      </c>
      <c r="F14" s="13" t="s">
        <v>1535</v>
      </c>
      <c r="G14" s="27" t="s">
        <v>19</v>
      </c>
      <c r="H14" s="27" t="s">
        <v>37</v>
      </c>
      <c r="I14" s="26" t="s">
        <v>139</v>
      </c>
      <c r="J14" s="14"/>
      <c r="K14" s="26" t="s">
        <v>214</v>
      </c>
      <c r="L14" s="27" t="s">
        <v>214</v>
      </c>
      <c r="M14" s="27" t="s">
        <v>57</v>
      </c>
      <c r="N14" s="14"/>
      <c r="O14" s="14" t="str">
        <f>"420,0"</f>
        <v>420,0</v>
      </c>
      <c r="P14" s="14" t="str">
        <f>"283,6680"</f>
        <v>283,6680</v>
      </c>
      <c r="Q14" s="13" t="s">
        <v>264</v>
      </c>
    </row>
    <row r="15" spans="1:17">
      <c r="B15" s="5" t="s">
        <v>166</v>
      </c>
    </row>
    <row r="16" spans="1:17" ht="16">
      <c r="A16" s="48" t="s">
        <v>64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7">
      <c r="A17" s="10" t="s">
        <v>165</v>
      </c>
      <c r="B17" s="9" t="s">
        <v>1247</v>
      </c>
      <c r="C17" s="9" t="s">
        <v>607</v>
      </c>
      <c r="D17" s="9" t="s">
        <v>294</v>
      </c>
      <c r="E17" s="9" t="s">
        <v>1626</v>
      </c>
      <c r="F17" s="9" t="s">
        <v>1536</v>
      </c>
      <c r="G17" s="22" t="s">
        <v>97</v>
      </c>
      <c r="H17" s="22" t="s">
        <v>98</v>
      </c>
      <c r="I17" s="23" t="s">
        <v>54</v>
      </c>
      <c r="J17" s="10"/>
      <c r="K17" s="22" t="s">
        <v>56</v>
      </c>
      <c r="L17" s="22" t="s">
        <v>57</v>
      </c>
      <c r="M17" s="23" t="s">
        <v>31</v>
      </c>
      <c r="N17" s="10"/>
      <c r="O17" s="10" t="str">
        <f>"390,0"</f>
        <v>390,0</v>
      </c>
      <c r="P17" s="10" t="str">
        <f>"250,6920"</f>
        <v>250,6920</v>
      </c>
      <c r="Q17" s="9" t="s">
        <v>1248</v>
      </c>
    </row>
    <row r="18" spans="1:17">
      <c r="A18" s="12" t="s">
        <v>165</v>
      </c>
      <c r="B18" s="11" t="s">
        <v>1249</v>
      </c>
      <c r="C18" s="11" t="s">
        <v>1250</v>
      </c>
      <c r="D18" s="11" t="s">
        <v>225</v>
      </c>
      <c r="E18" s="11" t="s">
        <v>1623</v>
      </c>
      <c r="F18" s="11" t="s">
        <v>1490</v>
      </c>
      <c r="G18" s="25" t="s">
        <v>114</v>
      </c>
      <c r="H18" s="25" t="s">
        <v>61</v>
      </c>
      <c r="I18" s="24" t="s">
        <v>51</v>
      </c>
      <c r="J18" s="12"/>
      <c r="K18" s="25" t="s">
        <v>57</v>
      </c>
      <c r="L18" s="25" t="s">
        <v>40</v>
      </c>
      <c r="M18" s="25" t="s">
        <v>68</v>
      </c>
      <c r="N18" s="12"/>
      <c r="O18" s="12" t="str">
        <f>"480,0"</f>
        <v>480,0</v>
      </c>
      <c r="P18" s="12" t="str">
        <f>"306,7680"</f>
        <v>306,7680</v>
      </c>
      <c r="Q18" s="11" t="s">
        <v>1251</v>
      </c>
    </row>
    <row r="19" spans="1:17">
      <c r="A19" s="14" t="s">
        <v>167</v>
      </c>
      <c r="B19" s="13" t="s">
        <v>555</v>
      </c>
      <c r="C19" s="13" t="s">
        <v>556</v>
      </c>
      <c r="D19" s="13" t="s">
        <v>557</v>
      </c>
      <c r="E19" s="13" t="s">
        <v>1623</v>
      </c>
      <c r="F19" s="13" t="s">
        <v>1607</v>
      </c>
      <c r="G19" s="27" t="s">
        <v>139</v>
      </c>
      <c r="H19" s="27" t="s">
        <v>20</v>
      </c>
      <c r="I19" s="26" t="s">
        <v>75</v>
      </c>
      <c r="J19" s="14"/>
      <c r="K19" s="27" t="s">
        <v>36</v>
      </c>
      <c r="L19" s="26" t="s">
        <v>41</v>
      </c>
      <c r="M19" s="26" t="s">
        <v>41</v>
      </c>
      <c r="N19" s="14"/>
      <c r="O19" s="14" t="str">
        <f>"470,0"</f>
        <v>470,0</v>
      </c>
      <c r="P19" s="14" t="str">
        <f>"301,7870"</f>
        <v>301,7870</v>
      </c>
      <c r="Q19" s="13" t="s">
        <v>264</v>
      </c>
    </row>
    <row r="20" spans="1:17">
      <c r="B20" s="5" t="s">
        <v>166</v>
      </c>
    </row>
    <row r="21" spans="1:17" ht="16">
      <c r="A21" s="48" t="s">
        <v>70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</row>
    <row r="22" spans="1:17">
      <c r="A22" s="8" t="s">
        <v>165</v>
      </c>
      <c r="B22" s="7" t="s">
        <v>78</v>
      </c>
      <c r="C22" s="7" t="s">
        <v>79</v>
      </c>
      <c r="D22" s="7" t="s">
        <v>80</v>
      </c>
      <c r="E22" s="7" t="s">
        <v>1623</v>
      </c>
      <c r="F22" s="7" t="s">
        <v>1615</v>
      </c>
      <c r="G22" s="21" t="s">
        <v>51</v>
      </c>
      <c r="H22" s="21" t="s">
        <v>52</v>
      </c>
      <c r="I22" s="20" t="s">
        <v>26</v>
      </c>
      <c r="J22" s="8"/>
      <c r="K22" s="21" t="s">
        <v>82</v>
      </c>
      <c r="L22" s="21" t="s">
        <v>81</v>
      </c>
      <c r="M22" s="20" t="s">
        <v>83</v>
      </c>
      <c r="N22" s="8"/>
      <c r="O22" s="8" t="str">
        <f>"535,0"</f>
        <v>535,0</v>
      </c>
      <c r="P22" s="8" t="str">
        <f>"331,2185"</f>
        <v>331,2185</v>
      </c>
      <c r="Q22" s="7" t="s">
        <v>84</v>
      </c>
    </row>
    <row r="23" spans="1:17">
      <c r="B23" s="5" t="s">
        <v>166</v>
      </c>
    </row>
    <row r="24" spans="1:17" ht="16">
      <c r="A24" s="48" t="s">
        <v>132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</row>
    <row r="25" spans="1:17">
      <c r="A25" s="8" t="s">
        <v>165</v>
      </c>
      <c r="B25" s="7" t="s">
        <v>1252</v>
      </c>
      <c r="C25" s="7" t="s">
        <v>1253</v>
      </c>
      <c r="D25" s="7" t="s">
        <v>1254</v>
      </c>
      <c r="E25" s="7" t="s">
        <v>1624</v>
      </c>
      <c r="F25" s="7" t="s">
        <v>1507</v>
      </c>
      <c r="G25" s="21" t="s">
        <v>51</v>
      </c>
      <c r="H25" s="21" t="s">
        <v>127</v>
      </c>
      <c r="I25" s="8"/>
      <c r="J25" s="8"/>
      <c r="K25" s="21" t="s">
        <v>68</v>
      </c>
      <c r="L25" s="21" t="s">
        <v>41</v>
      </c>
      <c r="M25" s="8"/>
      <c r="N25" s="8"/>
      <c r="O25" s="8" t="str">
        <f>"510,0"</f>
        <v>510,0</v>
      </c>
      <c r="P25" s="8" t="str">
        <f>"286,6710"</f>
        <v>286,6710</v>
      </c>
      <c r="Q25" s="7" t="s">
        <v>264</v>
      </c>
    </row>
    <row r="26" spans="1:17">
      <c r="B26" s="5" t="s">
        <v>166</v>
      </c>
    </row>
    <row r="27" spans="1:17">
      <c r="B27" s="5" t="s">
        <v>166</v>
      </c>
    </row>
  </sheetData>
  <mergeCells count="18">
    <mergeCell ref="A24:N24"/>
    <mergeCell ref="A5:N5"/>
    <mergeCell ref="A8:N8"/>
    <mergeCell ref="A11:N11"/>
    <mergeCell ref="A16:N16"/>
    <mergeCell ref="A21:N21"/>
    <mergeCell ref="A1:Q2"/>
    <mergeCell ref="A3:A4"/>
    <mergeCell ref="C3:C4"/>
    <mergeCell ref="D3:D4"/>
    <mergeCell ref="E3:E4"/>
    <mergeCell ref="F3:F4"/>
    <mergeCell ref="G3:J3"/>
    <mergeCell ref="K3:N3"/>
    <mergeCell ref="B3:B4"/>
    <mergeCell ref="O3:O4"/>
    <mergeCell ref="P3:P4"/>
    <mergeCell ref="Q3:Q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177"/>
  <sheetViews>
    <sheetView topLeftCell="A119" workbookViewId="0">
      <selection activeCell="E142" sqref="E142"/>
    </sheetView>
  </sheetViews>
  <sheetFormatPr baseColWidth="10" defaultColWidth="9.1640625" defaultRowHeight="13"/>
  <cols>
    <col min="1" max="1" width="7.5" style="5" bestFit="1" customWidth="1"/>
    <col min="2" max="2" width="22.6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10" width="5.5" style="6" customWidth="1"/>
    <col min="11" max="11" width="10.5" style="30" bestFit="1" customWidth="1"/>
    <col min="12" max="12" width="8.5" style="6" bestFit="1" customWidth="1"/>
    <col min="13" max="13" width="25.1640625" style="5" bestFit="1" customWidth="1"/>
    <col min="14" max="16384" width="9.1640625" style="3"/>
  </cols>
  <sheetData>
    <row r="1" spans="1:13" s="2" customFormat="1" ht="29" customHeight="1">
      <c r="A1" s="35" t="s">
        <v>1477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1488</v>
      </c>
      <c r="B3" s="55" t="s">
        <v>0</v>
      </c>
      <c r="C3" s="45" t="s">
        <v>1620</v>
      </c>
      <c r="D3" s="45" t="s">
        <v>5</v>
      </c>
      <c r="E3" s="47" t="s">
        <v>1621</v>
      </c>
      <c r="F3" s="47" t="s">
        <v>6</v>
      </c>
      <c r="G3" s="47" t="s">
        <v>8</v>
      </c>
      <c r="H3" s="47"/>
      <c r="I3" s="47"/>
      <c r="J3" s="47"/>
      <c r="K3" s="49" t="s">
        <v>587</v>
      </c>
      <c r="L3" s="47" t="s">
        <v>3</v>
      </c>
      <c r="M3" s="51" t="s">
        <v>2</v>
      </c>
    </row>
    <row r="4" spans="1:13" s="1" customFormat="1" ht="21" customHeight="1" thickBot="1">
      <c r="A4" s="44"/>
      <c r="B4" s="56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50"/>
      <c r="L4" s="46"/>
      <c r="M4" s="52"/>
    </row>
    <row r="5" spans="1:13" ht="16">
      <c r="A5" s="53" t="s">
        <v>707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165</v>
      </c>
      <c r="B6" s="7" t="s">
        <v>708</v>
      </c>
      <c r="C6" s="7" t="s">
        <v>709</v>
      </c>
      <c r="D6" s="7" t="s">
        <v>710</v>
      </c>
      <c r="E6" s="7" t="s">
        <v>1625</v>
      </c>
      <c r="F6" s="7" t="s">
        <v>1537</v>
      </c>
      <c r="G6" s="21" t="s">
        <v>711</v>
      </c>
      <c r="H6" s="21" t="s">
        <v>176</v>
      </c>
      <c r="I6" s="20" t="s">
        <v>361</v>
      </c>
      <c r="J6" s="8"/>
      <c r="K6" s="33" t="str">
        <f>"32,5"</f>
        <v>32,5</v>
      </c>
      <c r="L6" s="8" t="str">
        <f>"48,5420"</f>
        <v>48,5420</v>
      </c>
      <c r="M6" s="7" t="s">
        <v>712</v>
      </c>
    </row>
    <row r="7" spans="1:13">
      <c r="B7" s="5" t="s">
        <v>166</v>
      </c>
    </row>
    <row r="8" spans="1:13" ht="16">
      <c r="A8" s="48" t="s">
        <v>356</v>
      </c>
      <c r="B8" s="48"/>
      <c r="C8" s="48"/>
      <c r="D8" s="48"/>
      <c r="E8" s="48"/>
      <c r="F8" s="48"/>
      <c r="G8" s="48"/>
      <c r="H8" s="48"/>
      <c r="I8" s="48"/>
      <c r="J8" s="48"/>
    </row>
    <row r="9" spans="1:13">
      <c r="A9" s="8" t="s">
        <v>165</v>
      </c>
      <c r="B9" s="7" t="s">
        <v>713</v>
      </c>
      <c r="C9" s="7" t="s">
        <v>714</v>
      </c>
      <c r="D9" s="7" t="s">
        <v>715</v>
      </c>
      <c r="E9" s="7" t="s">
        <v>1623</v>
      </c>
      <c r="F9" s="7" t="s">
        <v>1538</v>
      </c>
      <c r="G9" s="21" t="s">
        <v>354</v>
      </c>
      <c r="H9" s="21" t="s">
        <v>366</v>
      </c>
      <c r="I9" s="20" t="s">
        <v>716</v>
      </c>
      <c r="J9" s="8"/>
      <c r="K9" s="33" t="str">
        <f>"50,0"</f>
        <v>50,0</v>
      </c>
      <c r="L9" s="8" t="str">
        <f>"63,1750"</f>
        <v>63,1750</v>
      </c>
      <c r="M9" s="7" t="s">
        <v>717</v>
      </c>
    </row>
    <row r="10" spans="1:13">
      <c r="B10" s="5" t="s">
        <v>166</v>
      </c>
    </row>
    <row r="11" spans="1:13" ht="16">
      <c r="A11" s="48" t="s">
        <v>171</v>
      </c>
      <c r="B11" s="48"/>
      <c r="C11" s="48"/>
      <c r="D11" s="48"/>
      <c r="E11" s="48"/>
      <c r="F11" s="48"/>
      <c r="G11" s="48"/>
      <c r="H11" s="48"/>
      <c r="I11" s="48"/>
      <c r="J11" s="48"/>
    </row>
    <row r="12" spans="1:13">
      <c r="A12" s="10" t="s">
        <v>165</v>
      </c>
      <c r="B12" s="9" t="s">
        <v>718</v>
      </c>
      <c r="C12" s="9" t="s">
        <v>719</v>
      </c>
      <c r="D12" s="9" t="s">
        <v>720</v>
      </c>
      <c r="E12" s="9" t="s">
        <v>1626</v>
      </c>
      <c r="F12" s="9" t="s">
        <v>1539</v>
      </c>
      <c r="G12" s="22" t="s">
        <v>432</v>
      </c>
      <c r="H12" s="22" t="s">
        <v>371</v>
      </c>
      <c r="I12" s="22" t="s">
        <v>18</v>
      </c>
      <c r="J12" s="10"/>
      <c r="K12" s="31" t="str">
        <f>"75,0"</f>
        <v>75,0</v>
      </c>
      <c r="L12" s="10" t="str">
        <f>"89,6250"</f>
        <v>89,6250</v>
      </c>
      <c r="M12" s="9" t="s">
        <v>721</v>
      </c>
    </row>
    <row r="13" spans="1:13">
      <c r="A13" s="12" t="s">
        <v>165</v>
      </c>
      <c r="B13" s="11" t="s">
        <v>722</v>
      </c>
      <c r="C13" s="11" t="s">
        <v>723</v>
      </c>
      <c r="D13" s="11" t="s">
        <v>174</v>
      </c>
      <c r="E13" s="11" t="s">
        <v>1623</v>
      </c>
      <c r="F13" s="11" t="s">
        <v>1504</v>
      </c>
      <c r="G13" s="25" t="s">
        <v>18</v>
      </c>
      <c r="H13" s="25" t="s">
        <v>724</v>
      </c>
      <c r="I13" s="24" t="s">
        <v>252</v>
      </c>
      <c r="J13" s="12"/>
      <c r="K13" s="34" t="str">
        <f>"82,5"</f>
        <v>82,5</v>
      </c>
      <c r="L13" s="12" t="str">
        <f>"99,5858"</f>
        <v>99,5858</v>
      </c>
      <c r="M13" s="11" t="s">
        <v>725</v>
      </c>
    </row>
    <row r="14" spans="1:13">
      <c r="A14" s="12" t="s">
        <v>167</v>
      </c>
      <c r="B14" s="11" t="s">
        <v>726</v>
      </c>
      <c r="C14" s="11" t="s">
        <v>727</v>
      </c>
      <c r="D14" s="11" t="s">
        <v>728</v>
      </c>
      <c r="E14" s="11" t="s">
        <v>1623</v>
      </c>
      <c r="F14" s="11" t="s">
        <v>1525</v>
      </c>
      <c r="G14" s="25" t="s">
        <v>18</v>
      </c>
      <c r="H14" s="25" t="s">
        <v>372</v>
      </c>
      <c r="I14" s="24" t="s">
        <v>179</v>
      </c>
      <c r="J14" s="12"/>
      <c r="K14" s="34" t="str">
        <f>"77,5"</f>
        <v>77,5</v>
      </c>
      <c r="L14" s="12" t="str">
        <f>"91,9615"</f>
        <v>91,9615</v>
      </c>
      <c r="M14" s="11" t="s">
        <v>729</v>
      </c>
    </row>
    <row r="15" spans="1:13">
      <c r="A15" s="14" t="s">
        <v>168</v>
      </c>
      <c r="B15" s="13" t="s">
        <v>730</v>
      </c>
      <c r="C15" s="13" t="s">
        <v>731</v>
      </c>
      <c r="D15" s="13" t="s">
        <v>732</v>
      </c>
      <c r="E15" s="13" t="s">
        <v>1623</v>
      </c>
      <c r="F15" s="13" t="s">
        <v>1494</v>
      </c>
      <c r="G15" s="27" t="s">
        <v>366</v>
      </c>
      <c r="H15" s="26" t="s">
        <v>188</v>
      </c>
      <c r="I15" s="27" t="s">
        <v>188</v>
      </c>
      <c r="J15" s="14"/>
      <c r="K15" s="32" t="str">
        <f>"55,0"</f>
        <v>55,0</v>
      </c>
      <c r="L15" s="14" t="str">
        <f>"65,5380"</f>
        <v>65,5380</v>
      </c>
      <c r="M15" s="13" t="s">
        <v>429</v>
      </c>
    </row>
    <row r="16" spans="1:13">
      <c r="B16" s="5" t="s">
        <v>166</v>
      </c>
    </row>
    <row r="17" spans="1:13" ht="16">
      <c r="A17" s="48" t="s">
        <v>183</v>
      </c>
      <c r="B17" s="48"/>
      <c r="C17" s="48"/>
      <c r="D17" s="48"/>
      <c r="E17" s="48"/>
      <c r="F17" s="48"/>
      <c r="G17" s="48"/>
      <c r="H17" s="48"/>
      <c r="I17" s="48"/>
      <c r="J17" s="48"/>
    </row>
    <row r="18" spans="1:13">
      <c r="A18" s="10" t="s">
        <v>165</v>
      </c>
      <c r="B18" s="9" t="s">
        <v>734</v>
      </c>
      <c r="C18" s="9" t="s">
        <v>735</v>
      </c>
      <c r="D18" s="9" t="s">
        <v>736</v>
      </c>
      <c r="E18" s="9" t="s">
        <v>1623</v>
      </c>
      <c r="F18" s="9" t="s">
        <v>1490</v>
      </c>
      <c r="G18" s="22" t="s">
        <v>178</v>
      </c>
      <c r="H18" s="22" t="s">
        <v>348</v>
      </c>
      <c r="I18" s="23" t="s">
        <v>349</v>
      </c>
      <c r="J18" s="10"/>
      <c r="K18" s="31" t="str">
        <f>"42,5"</f>
        <v>42,5</v>
      </c>
      <c r="L18" s="10" t="str">
        <f>"48,7177"</f>
        <v>48,7177</v>
      </c>
      <c r="M18" s="9" t="s">
        <v>737</v>
      </c>
    </row>
    <row r="19" spans="1:13">
      <c r="A19" s="12" t="s">
        <v>169</v>
      </c>
      <c r="B19" s="11" t="s">
        <v>738</v>
      </c>
      <c r="C19" s="11" t="s">
        <v>739</v>
      </c>
      <c r="D19" s="11" t="s">
        <v>185</v>
      </c>
      <c r="E19" s="11" t="s">
        <v>1623</v>
      </c>
      <c r="F19" s="11" t="s">
        <v>1540</v>
      </c>
      <c r="G19" s="24" t="s">
        <v>396</v>
      </c>
      <c r="H19" s="24" t="s">
        <v>432</v>
      </c>
      <c r="I19" s="24" t="s">
        <v>432</v>
      </c>
      <c r="J19" s="12"/>
      <c r="K19" s="34">
        <v>0</v>
      </c>
      <c r="L19" s="12" t="str">
        <f>"0,0000"</f>
        <v>0,0000</v>
      </c>
      <c r="M19" s="11" t="s">
        <v>740</v>
      </c>
    </row>
    <row r="20" spans="1:13">
      <c r="A20" s="14" t="s">
        <v>165</v>
      </c>
      <c r="B20" s="13" t="s">
        <v>741</v>
      </c>
      <c r="C20" s="13" t="s">
        <v>742</v>
      </c>
      <c r="D20" s="13" t="s">
        <v>743</v>
      </c>
      <c r="E20" s="13" t="s">
        <v>1624</v>
      </c>
      <c r="F20" s="13" t="s">
        <v>1513</v>
      </c>
      <c r="G20" s="27" t="s">
        <v>716</v>
      </c>
      <c r="H20" s="27" t="s">
        <v>188</v>
      </c>
      <c r="I20" s="26" t="s">
        <v>386</v>
      </c>
      <c r="J20" s="14"/>
      <c r="K20" s="32" t="str">
        <f>"55,0"</f>
        <v>55,0</v>
      </c>
      <c r="L20" s="14" t="str">
        <f>"63,2733"</f>
        <v>63,2733</v>
      </c>
      <c r="M20" s="13" t="s">
        <v>717</v>
      </c>
    </row>
    <row r="21" spans="1:13">
      <c r="B21" s="5" t="s">
        <v>166</v>
      </c>
    </row>
    <row r="22" spans="1:13" ht="16">
      <c r="A22" s="48" t="s">
        <v>191</v>
      </c>
      <c r="B22" s="48"/>
      <c r="C22" s="48"/>
      <c r="D22" s="48"/>
      <c r="E22" s="48"/>
      <c r="F22" s="48"/>
      <c r="G22" s="48"/>
      <c r="H22" s="48"/>
      <c r="I22" s="48"/>
      <c r="J22" s="48"/>
    </row>
    <row r="23" spans="1:13">
      <c r="A23" s="10" t="s">
        <v>165</v>
      </c>
      <c r="B23" s="9" t="s">
        <v>744</v>
      </c>
      <c r="C23" s="9" t="s">
        <v>745</v>
      </c>
      <c r="D23" s="9" t="s">
        <v>746</v>
      </c>
      <c r="E23" s="9" t="s">
        <v>1623</v>
      </c>
      <c r="F23" s="9" t="s">
        <v>1490</v>
      </c>
      <c r="G23" s="22" t="s">
        <v>229</v>
      </c>
      <c r="H23" s="23" t="s">
        <v>186</v>
      </c>
      <c r="I23" s="22" t="s">
        <v>367</v>
      </c>
      <c r="J23" s="10"/>
      <c r="K23" s="31" t="str">
        <f>"115,0"</f>
        <v>115,0</v>
      </c>
      <c r="L23" s="10" t="str">
        <f>"121,7620"</f>
        <v>121,7620</v>
      </c>
      <c r="M23" s="9" t="s">
        <v>747</v>
      </c>
    </row>
    <row r="24" spans="1:13">
      <c r="A24" s="12" t="s">
        <v>167</v>
      </c>
      <c r="B24" s="11" t="s">
        <v>748</v>
      </c>
      <c r="C24" s="11" t="s">
        <v>749</v>
      </c>
      <c r="D24" s="11" t="s">
        <v>411</v>
      </c>
      <c r="E24" s="11" t="s">
        <v>1623</v>
      </c>
      <c r="F24" s="11" t="s">
        <v>1494</v>
      </c>
      <c r="G24" s="25" t="s">
        <v>18</v>
      </c>
      <c r="H24" s="25" t="s">
        <v>179</v>
      </c>
      <c r="I24" s="25" t="s">
        <v>252</v>
      </c>
      <c r="J24" s="12"/>
      <c r="K24" s="34" t="str">
        <f>"85,0"</f>
        <v>85,0</v>
      </c>
      <c r="L24" s="12" t="str">
        <f>"89,7940"</f>
        <v>89,7940</v>
      </c>
      <c r="M24" s="11" t="s">
        <v>733</v>
      </c>
    </row>
    <row r="25" spans="1:13">
      <c r="A25" s="12" t="s">
        <v>168</v>
      </c>
      <c r="B25" s="11" t="s">
        <v>750</v>
      </c>
      <c r="C25" s="11" t="s">
        <v>751</v>
      </c>
      <c r="D25" s="11" t="s">
        <v>197</v>
      </c>
      <c r="E25" s="11" t="s">
        <v>1623</v>
      </c>
      <c r="F25" s="11" t="s">
        <v>1525</v>
      </c>
      <c r="G25" s="25" t="s">
        <v>18</v>
      </c>
      <c r="H25" s="24" t="s">
        <v>179</v>
      </c>
      <c r="I25" s="24" t="s">
        <v>179</v>
      </c>
      <c r="J25" s="12"/>
      <c r="K25" s="34" t="str">
        <f>"75,0"</f>
        <v>75,0</v>
      </c>
      <c r="L25" s="12" t="str">
        <f>"77,2050"</f>
        <v>77,2050</v>
      </c>
      <c r="M25" s="11" t="s">
        <v>264</v>
      </c>
    </row>
    <row r="26" spans="1:13">
      <c r="A26" s="12" t="s">
        <v>170</v>
      </c>
      <c r="B26" s="11" t="s">
        <v>752</v>
      </c>
      <c r="C26" s="11" t="s">
        <v>753</v>
      </c>
      <c r="D26" s="11" t="s">
        <v>754</v>
      </c>
      <c r="E26" s="11" t="s">
        <v>1623</v>
      </c>
      <c r="F26" s="11" t="s">
        <v>1490</v>
      </c>
      <c r="G26" s="25" t="s">
        <v>354</v>
      </c>
      <c r="H26" s="25" t="s">
        <v>716</v>
      </c>
      <c r="I26" s="24" t="s">
        <v>386</v>
      </c>
      <c r="J26" s="12"/>
      <c r="K26" s="34" t="str">
        <f>"52,5"</f>
        <v>52,5</v>
      </c>
      <c r="L26" s="12" t="str">
        <f>"54,7680"</f>
        <v>54,7680</v>
      </c>
      <c r="M26" s="11" t="s">
        <v>755</v>
      </c>
    </row>
    <row r="27" spans="1:13">
      <c r="A27" s="12" t="s">
        <v>169</v>
      </c>
      <c r="B27" s="11" t="s">
        <v>756</v>
      </c>
      <c r="C27" s="11" t="s">
        <v>757</v>
      </c>
      <c r="D27" s="11" t="s">
        <v>758</v>
      </c>
      <c r="E27" s="11" t="s">
        <v>1623</v>
      </c>
      <c r="F27" s="11" t="s">
        <v>1535</v>
      </c>
      <c r="G27" s="24" t="s">
        <v>366</v>
      </c>
      <c r="H27" s="24" t="s">
        <v>366</v>
      </c>
      <c r="I27" s="24" t="s">
        <v>716</v>
      </c>
      <c r="J27" s="12"/>
      <c r="K27" s="34">
        <v>0</v>
      </c>
      <c r="L27" s="12" t="str">
        <f>"0,0000"</f>
        <v>0,0000</v>
      </c>
      <c r="M27" s="11" t="s">
        <v>759</v>
      </c>
    </row>
    <row r="28" spans="1:13">
      <c r="A28" s="14" t="s">
        <v>165</v>
      </c>
      <c r="B28" s="13" t="s">
        <v>760</v>
      </c>
      <c r="C28" s="13" t="s">
        <v>761</v>
      </c>
      <c r="D28" s="13" t="s">
        <v>762</v>
      </c>
      <c r="E28" s="13" t="s">
        <v>1627</v>
      </c>
      <c r="F28" s="13" t="s">
        <v>1490</v>
      </c>
      <c r="G28" s="27" t="s">
        <v>17</v>
      </c>
      <c r="H28" s="27" t="s">
        <v>371</v>
      </c>
      <c r="I28" s="27" t="s">
        <v>18</v>
      </c>
      <c r="J28" s="14"/>
      <c r="K28" s="32" t="str">
        <f>"75,0"</f>
        <v>75,0</v>
      </c>
      <c r="L28" s="14" t="str">
        <f>"97,5750"</f>
        <v>97,5750</v>
      </c>
      <c r="M28" s="13" t="s">
        <v>747</v>
      </c>
    </row>
    <row r="29" spans="1:13">
      <c r="B29" s="5" t="s">
        <v>166</v>
      </c>
    </row>
    <row r="30" spans="1:13" ht="16">
      <c r="A30" s="48" t="s">
        <v>22</v>
      </c>
      <c r="B30" s="48"/>
      <c r="C30" s="48"/>
      <c r="D30" s="48"/>
      <c r="E30" s="48"/>
      <c r="F30" s="48"/>
      <c r="G30" s="48"/>
      <c r="H30" s="48"/>
      <c r="I30" s="48"/>
      <c r="J30" s="48"/>
    </row>
    <row r="31" spans="1:13">
      <c r="A31" s="10" t="s">
        <v>165</v>
      </c>
      <c r="B31" s="9" t="s">
        <v>763</v>
      </c>
      <c r="C31" s="9" t="s">
        <v>764</v>
      </c>
      <c r="D31" s="9" t="s">
        <v>765</v>
      </c>
      <c r="E31" s="9" t="s">
        <v>1623</v>
      </c>
      <c r="F31" s="9" t="s">
        <v>1490</v>
      </c>
      <c r="G31" s="22" t="s">
        <v>17</v>
      </c>
      <c r="H31" s="23" t="s">
        <v>18</v>
      </c>
      <c r="I31" s="23" t="s">
        <v>179</v>
      </c>
      <c r="J31" s="10"/>
      <c r="K31" s="31" t="str">
        <f>"70,0"</f>
        <v>70,0</v>
      </c>
      <c r="L31" s="10" t="str">
        <f>"70,3360"</f>
        <v>70,3360</v>
      </c>
      <c r="M31" s="9" t="s">
        <v>755</v>
      </c>
    </row>
    <row r="32" spans="1:13">
      <c r="A32" s="14" t="s">
        <v>165</v>
      </c>
      <c r="B32" s="13" t="s">
        <v>766</v>
      </c>
      <c r="C32" s="13" t="s">
        <v>767</v>
      </c>
      <c r="D32" s="13" t="s">
        <v>440</v>
      </c>
      <c r="E32" s="13" t="s">
        <v>1627</v>
      </c>
      <c r="F32" s="13" t="s">
        <v>1490</v>
      </c>
      <c r="G32" s="27" t="s">
        <v>366</v>
      </c>
      <c r="H32" s="26" t="s">
        <v>716</v>
      </c>
      <c r="I32" s="26" t="s">
        <v>716</v>
      </c>
      <c r="J32" s="14"/>
      <c r="K32" s="32" t="str">
        <f>"50,0"</f>
        <v>50,0</v>
      </c>
      <c r="L32" s="14" t="str">
        <f>"58,0145"</f>
        <v>58,0145</v>
      </c>
      <c r="M32" s="13" t="s">
        <v>768</v>
      </c>
    </row>
    <row r="33" spans="1:13">
      <c r="B33" s="5" t="s">
        <v>166</v>
      </c>
    </row>
    <row r="34" spans="1:13" ht="16">
      <c r="A34" s="48" t="s">
        <v>171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3">
      <c r="A35" s="8" t="s">
        <v>165</v>
      </c>
      <c r="B35" s="7" t="s">
        <v>769</v>
      </c>
      <c r="C35" s="7" t="s">
        <v>770</v>
      </c>
      <c r="D35" s="7" t="s">
        <v>771</v>
      </c>
      <c r="E35" s="7" t="s">
        <v>1623</v>
      </c>
      <c r="F35" s="7" t="s">
        <v>1541</v>
      </c>
      <c r="G35" s="21" t="s">
        <v>18</v>
      </c>
      <c r="H35" s="21" t="s">
        <v>179</v>
      </c>
      <c r="I35" s="20" t="s">
        <v>252</v>
      </c>
      <c r="J35" s="8"/>
      <c r="K35" s="33" t="str">
        <f>"80,0"</f>
        <v>80,0</v>
      </c>
      <c r="L35" s="8" t="str">
        <f>"74,4000"</f>
        <v>74,4000</v>
      </c>
      <c r="M35" s="7" t="s">
        <v>1434</v>
      </c>
    </row>
    <row r="36" spans="1:13">
      <c r="B36" s="5" t="s">
        <v>166</v>
      </c>
    </row>
    <row r="37" spans="1:13" ht="16">
      <c r="A37" s="48" t="s">
        <v>183</v>
      </c>
      <c r="B37" s="48"/>
      <c r="C37" s="48"/>
      <c r="D37" s="48"/>
      <c r="E37" s="48"/>
      <c r="F37" s="48"/>
      <c r="G37" s="48"/>
      <c r="H37" s="48"/>
      <c r="I37" s="48"/>
      <c r="J37" s="48"/>
    </row>
    <row r="38" spans="1:13">
      <c r="A38" s="8" t="s">
        <v>169</v>
      </c>
      <c r="B38" s="7" t="s">
        <v>772</v>
      </c>
      <c r="C38" s="7" t="s">
        <v>773</v>
      </c>
      <c r="D38" s="7" t="s">
        <v>185</v>
      </c>
      <c r="E38" s="7" t="s">
        <v>1624</v>
      </c>
      <c r="F38" s="7" t="s">
        <v>1618</v>
      </c>
      <c r="G38" s="20" t="s">
        <v>366</v>
      </c>
      <c r="H38" s="20" t="s">
        <v>366</v>
      </c>
      <c r="I38" s="8"/>
      <c r="J38" s="8"/>
      <c r="K38" s="33">
        <v>0</v>
      </c>
      <c r="L38" s="8" t="str">
        <f>"0,0000"</f>
        <v>0,0000</v>
      </c>
      <c r="M38" s="7" t="s">
        <v>264</v>
      </c>
    </row>
    <row r="39" spans="1:13">
      <c r="B39" s="5" t="s">
        <v>166</v>
      </c>
    </row>
    <row r="40" spans="1:13" ht="16">
      <c r="A40" s="48" t="s">
        <v>191</v>
      </c>
      <c r="B40" s="48"/>
      <c r="C40" s="48"/>
      <c r="D40" s="48"/>
      <c r="E40" s="48"/>
      <c r="F40" s="48"/>
      <c r="G40" s="48"/>
      <c r="H40" s="48"/>
      <c r="I40" s="48"/>
      <c r="J40" s="48"/>
    </row>
    <row r="41" spans="1:13">
      <c r="A41" s="10" t="s">
        <v>165</v>
      </c>
      <c r="B41" s="9" t="s">
        <v>774</v>
      </c>
      <c r="C41" s="9" t="s">
        <v>775</v>
      </c>
      <c r="D41" s="9" t="s">
        <v>194</v>
      </c>
      <c r="E41" s="9" t="s">
        <v>1625</v>
      </c>
      <c r="F41" s="9" t="s">
        <v>1542</v>
      </c>
      <c r="G41" s="22" t="s">
        <v>62</v>
      </c>
      <c r="H41" s="22" t="s">
        <v>200</v>
      </c>
      <c r="I41" s="23" t="s">
        <v>187</v>
      </c>
      <c r="J41" s="10"/>
      <c r="K41" s="31" t="str">
        <f>"122,5"</f>
        <v>122,5</v>
      </c>
      <c r="L41" s="10" t="str">
        <f>"95,9420"</f>
        <v>95,9420</v>
      </c>
      <c r="M41" s="9" t="s">
        <v>776</v>
      </c>
    </row>
    <row r="42" spans="1:13">
      <c r="A42" s="12" t="s">
        <v>167</v>
      </c>
      <c r="B42" s="11" t="s">
        <v>777</v>
      </c>
      <c r="C42" s="11" t="s">
        <v>778</v>
      </c>
      <c r="D42" s="11" t="s">
        <v>758</v>
      </c>
      <c r="E42" s="11" t="s">
        <v>1625</v>
      </c>
      <c r="F42" s="11" t="s">
        <v>1490</v>
      </c>
      <c r="G42" s="24" t="s">
        <v>18</v>
      </c>
      <c r="H42" s="25" t="s">
        <v>18</v>
      </c>
      <c r="I42" s="25" t="s">
        <v>724</v>
      </c>
      <c r="J42" s="12"/>
      <c r="K42" s="34" t="str">
        <f>"82,5"</f>
        <v>82,5</v>
      </c>
      <c r="L42" s="12" t="str">
        <f>"64,8615"</f>
        <v>64,8615</v>
      </c>
      <c r="M42" s="11" t="s">
        <v>779</v>
      </c>
    </row>
    <row r="43" spans="1:13">
      <c r="A43" s="12" t="s">
        <v>165</v>
      </c>
      <c r="B43" s="11" t="s">
        <v>780</v>
      </c>
      <c r="C43" s="11" t="s">
        <v>781</v>
      </c>
      <c r="D43" s="11" t="s">
        <v>782</v>
      </c>
      <c r="E43" s="11" t="s">
        <v>1622</v>
      </c>
      <c r="F43" s="11" t="s">
        <v>1543</v>
      </c>
      <c r="G43" s="25" t="s">
        <v>186</v>
      </c>
      <c r="H43" s="25" t="s">
        <v>367</v>
      </c>
      <c r="I43" s="24" t="s">
        <v>199</v>
      </c>
      <c r="J43" s="12"/>
      <c r="K43" s="34" t="str">
        <f>"115,0"</f>
        <v>115,0</v>
      </c>
      <c r="L43" s="12" t="str">
        <f>"95,7835"</f>
        <v>95,7835</v>
      </c>
      <c r="M43" s="11" t="s">
        <v>783</v>
      </c>
    </row>
    <row r="44" spans="1:13">
      <c r="A44" s="12" t="s">
        <v>167</v>
      </c>
      <c r="B44" s="11" t="s">
        <v>784</v>
      </c>
      <c r="C44" s="11" t="s">
        <v>785</v>
      </c>
      <c r="D44" s="11" t="s">
        <v>786</v>
      </c>
      <c r="E44" s="11" t="s">
        <v>1622</v>
      </c>
      <c r="F44" s="11" t="s">
        <v>1544</v>
      </c>
      <c r="G44" s="25" t="s">
        <v>181</v>
      </c>
      <c r="H44" s="24" t="s">
        <v>347</v>
      </c>
      <c r="I44" s="25" t="s">
        <v>347</v>
      </c>
      <c r="J44" s="12"/>
      <c r="K44" s="34" t="str">
        <f>"95,0"</f>
        <v>95,0</v>
      </c>
      <c r="L44" s="12" t="str">
        <f>"74,3185"</f>
        <v>74,3185</v>
      </c>
      <c r="M44" s="11" t="s">
        <v>787</v>
      </c>
    </row>
    <row r="45" spans="1:13">
      <c r="A45" s="12" t="s">
        <v>168</v>
      </c>
      <c r="B45" s="11" t="s">
        <v>788</v>
      </c>
      <c r="C45" s="11" t="s">
        <v>789</v>
      </c>
      <c r="D45" s="11" t="s">
        <v>790</v>
      </c>
      <c r="E45" s="11" t="s">
        <v>1622</v>
      </c>
      <c r="F45" s="11" t="s">
        <v>1544</v>
      </c>
      <c r="G45" s="25" t="s">
        <v>181</v>
      </c>
      <c r="H45" s="24" t="s">
        <v>346</v>
      </c>
      <c r="I45" s="25" t="s">
        <v>346</v>
      </c>
      <c r="J45" s="12"/>
      <c r="K45" s="34" t="str">
        <f>"92,5"</f>
        <v>92,5</v>
      </c>
      <c r="L45" s="12" t="str">
        <f>"73,8428"</f>
        <v>73,8428</v>
      </c>
      <c r="M45" s="11" t="s">
        <v>787</v>
      </c>
    </row>
    <row r="46" spans="1:13">
      <c r="A46" s="12" t="s">
        <v>165</v>
      </c>
      <c r="B46" s="11" t="s">
        <v>791</v>
      </c>
      <c r="C46" s="11" t="s">
        <v>792</v>
      </c>
      <c r="D46" s="11" t="s">
        <v>758</v>
      </c>
      <c r="E46" s="11" t="s">
        <v>1626</v>
      </c>
      <c r="F46" s="11" t="s">
        <v>1545</v>
      </c>
      <c r="G46" s="25" t="s">
        <v>199</v>
      </c>
      <c r="H46" s="25" t="s">
        <v>62</v>
      </c>
      <c r="I46" s="25" t="s">
        <v>187</v>
      </c>
      <c r="J46" s="12"/>
      <c r="K46" s="34" t="str">
        <f>"125,0"</f>
        <v>125,0</v>
      </c>
      <c r="L46" s="12" t="str">
        <f>"98,2750"</f>
        <v>98,2750</v>
      </c>
      <c r="M46" s="11" t="s">
        <v>793</v>
      </c>
    </row>
    <row r="47" spans="1:13">
      <c r="A47" s="12" t="s">
        <v>169</v>
      </c>
      <c r="B47" s="11" t="s">
        <v>794</v>
      </c>
      <c r="C47" s="11" t="s">
        <v>795</v>
      </c>
      <c r="D47" s="11" t="s">
        <v>762</v>
      </c>
      <c r="E47" s="11" t="s">
        <v>1626</v>
      </c>
      <c r="F47" s="11" t="s">
        <v>1545</v>
      </c>
      <c r="G47" s="24" t="s">
        <v>395</v>
      </c>
      <c r="H47" s="24" t="s">
        <v>395</v>
      </c>
      <c r="I47" s="24" t="s">
        <v>395</v>
      </c>
      <c r="J47" s="12"/>
      <c r="K47" s="34">
        <v>0</v>
      </c>
      <c r="L47" s="12" t="str">
        <f>"0,0000"</f>
        <v>0,0000</v>
      </c>
      <c r="M47" s="11" t="s">
        <v>264</v>
      </c>
    </row>
    <row r="48" spans="1:13">
      <c r="A48" s="12" t="s">
        <v>165</v>
      </c>
      <c r="B48" s="11" t="s">
        <v>796</v>
      </c>
      <c r="C48" s="11" t="s">
        <v>797</v>
      </c>
      <c r="D48" s="11" t="s">
        <v>399</v>
      </c>
      <c r="E48" s="11" t="s">
        <v>1623</v>
      </c>
      <c r="F48" s="11" t="s">
        <v>1490</v>
      </c>
      <c r="G48" s="24" t="s">
        <v>200</v>
      </c>
      <c r="H48" s="25" t="s">
        <v>200</v>
      </c>
      <c r="I48" s="25" t="s">
        <v>187</v>
      </c>
      <c r="J48" s="12"/>
      <c r="K48" s="34" t="str">
        <f>"125,0"</f>
        <v>125,0</v>
      </c>
      <c r="L48" s="12" t="str">
        <f>"96,3750"</f>
        <v>96,3750</v>
      </c>
      <c r="M48" s="11" t="s">
        <v>264</v>
      </c>
    </row>
    <row r="49" spans="1:13">
      <c r="A49" s="12" t="s">
        <v>167</v>
      </c>
      <c r="B49" s="11" t="s">
        <v>798</v>
      </c>
      <c r="C49" s="11" t="s">
        <v>799</v>
      </c>
      <c r="D49" s="11" t="s">
        <v>800</v>
      </c>
      <c r="E49" s="11" t="s">
        <v>1623</v>
      </c>
      <c r="F49" s="11" t="s">
        <v>1490</v>
      </c>
      <c r="G49" s="25" t="s">
        <v>220</v>
      </c>
      <c r="H49" s="25" t="s">
        <v>395</v>
      </c>
      <c r="I49" s="25" t="s">
        <v>391</v>
      </c>
      <c r="J49" s="12"/>
      <c r="K49" s="34" t="str">
        <f>"112,5"</f>
        <v>112,5</v>
      </c>
      <c r="L49" s="12" t="str">
        <f>"89,9213"</f>
        <v>89,9213</v>
      </c>
      <c r="M49" s="11" t="s">
        <v>801</v>
      </c>
    </row>
    <row r="50" spans="1:13">
      <c r="A50" s="12" t="s">
        <v>168</v>
      </c>
      <c r="B50" s="11" t="s">
        <v>802</v>
      </c>
      <c r="C50" s="11" t="s">
        <v>803</v>
      </c>
      <c r="D50" s="11" t="s">
        <v>804</v>
      </c>
      <c r="E50" s="11" t="s">
        <v>1623</v>
      </c>
      <c r="F50" s="11" t="s">
        <v>1534</v>
      </c>
      <c r="G50" s="25" t="s">
        <v>220</v>
      </c>
      <c r="H50" s="25" t="s">
        <v>395</v>
      </c>
      <c r="I50" s="24" t="s">
        <v>186</v>
      </c>
      <c r="J50" s="12"/>
      <c r="K50" s="34" t="str">
        <f>"107,5"</f>
        <v>107,5</v>
      </c>
      <c r="L50" s="12" t="str">
        <f>"85,2690"</f>
        <v>85,2690</v>
      </c>
      <c r="M50" s="11" t="s">
        <v>805</v>
      </c>
    </row>
    <row r="51" spans="1:13">
      <c r="A51" s="12" t="s">
        <v>169</v>
      </c>
      <c r="B51" s="11" t="s">
        <v>806</v>
      </c>
      <c r="C51" s="11" t="s">
        <v>807</v>
      </c>
      <c r="D51" s="11" t="s">
        <v>808</v>
      </c>
      <c r="E51" s="11" t="s">
        <v>1623</v>
      </c>
      <c r="F51" s="11" t="s">
        <v>1525</v>
      </c>
      <c r="G51" s="24" t="s">
        <v>54</v>
      </c>
      <c r="H51" s="24" t="s">
        <v>54</v>
      </c>
      <c r="I51" s="24" t="s">
        <v>54</v>
      </c>
      <c r="J51" s="12"/>
      <c r="K51" s="34">
        <v>0</v>
      </c>
      <c r="L51" s="12" t="str">
        <f>"0,0000"</f>
        <v>0,0000</v>
      </c>
      <c r="M51" s="11" t="s">
        <v>264</v>
      </c>
    </row>
    <row r="52" spans="1:13">
      <c r="A52" s="12" t="s">
        <v>169</v>
      </c>
      <c r="B52" s="11" t="s">
        <v>809</v>
      </c>
      <c r="C52" s="11" t="s">
        <v>810</v>
      </c>
      <c r="D52" s="11" t="s">
        <v>808</v>
      </c>
      <c r="E52" s="11" t="s">
        <v>1623</v>
      </c>
      <c r="F52" s="11" t="s">
        <v>1490</v>
      </c>
      <c r="G52" s="24" t="s">
        <v>367</v>
      </c>
      <c r="H52" s="24" t="s">
        <v>367</v>
      </c>
      <c r="I52" s="24" t="s">
        <v>367</v>
      </c>
      <c r="J52" s="12"/>
      <c r="K52" s="34">
        <v>0</v>
      </c>
      <c r="L52" s="12" t="str">
        <f>"0,0000"</f>
        <v>0,0000</v>
      </c>
      <c r="M52" s="11" t="s">
        <v>740</v>
      </c>
    </row>
    <row r="53" spans="1:13">
      <c r="A53" s="14" t="s">
        <v>169</v>
      </c>
      <c r="B53" s="13" t="s">
        <v>811</v>
      </c>
      <c r="C53" s="13" t="s">
        <v>812</v>
      </c>
      <c r="D53" s="13" t="s">
        <v>601</v>
      </c>
      <c r="E53" s="13" t="s">
        <v>1623</v>
      </c>
      <c r="F53" s="13" t="s">
        <v>1490</v>
      </c>
      <c r="G53" s="26" t="s">
        <v>367</v>
      </c>
      <c r="H53" s="26" t="s">
        <v>367</v>
      </c>
      <c r="I53" s="26" t="s">
        <v>199</v>
      </c>
      <c r="J53" s="14"/>
      <c r="K53" s="32">
        <v>0</v>
      </c>
      <c r="L53" s="14" t="str">
        <f>"0,0000"</f>
        <v>0,0000</v>
      </c>
      <c r="M53" s="13" t="s">
        <v>264</v>
      </c>
    </row>
    <row r="54" spans="1:13">
      <c r="B54" s="5" t="s">
        <v>166</v>
      </c>
    </row>
    <row r="55" spans="1:13" ht="16">
      <c r="A55" s="48" t="s">
        <v>22</v>
      </c>
      <c r="B55" s="48"/>
      <c r="C55" s="48"/>
      <c r="D55" s="48"/>
      <c r="E55" s="48"/>
      <c r="F55" s="48"/>
      <c r="G55" s="48"/>
      <c r="H55" s="48"/>
      <c r="I55" s="48"/>
      <c r="J55" s="48"/>
    </row>
    <row r="56" spans="1:13">
      <c r="A56" s="10" t="s">
        <v>165</v>
      </c>
      <c r="B56" s="9" t="s">
        <v>813</v>
      </c>
      <c r="C56" s="9" t="s">
        <v>814</v>
      </c>
      <c r="D56" s="9" t="s">
        <v>815</v>
      </c>
      <c r="E56" s="9" t="s">
        <v>1625</v>
      </c>
      <c r="F56" s="9" t="s">
        <v>1535</v>
      </c>
      <c r="G56" s="22" t="s">
        <v>179</v>
      </c>
      <c r="H56" s="23" t="s">
        <v>181</v>
      </c>
      <c r="I56" s="23" t="s">
        <v>181</v>
      </c>
      <c r="J56" s="10"/>
      <c r="K56" s="31" t="str">
        <f>"80,0"</f>
        <v>80,0</v>
      </c>
      <c r="L56" s="10" t="str">
        <f>"58,2800"</f>
        <v>58,2800</v>
      </c>
      <c r="M56" s="9" t="s">
        <v>759</v>
      </c>
    </row>
    <row r="57" spans="1:13">
      <c r="A57" s="12" t="s">
        <v>165</v>
      </c>
      <c r="B57" s="11" t="s">
        <v>816</v>
      </c>
      <c r="C57" s="11" t="s">
        <v>817</v>
      </c>
      <c r="D57" s="11" t="s">
        <v>545</v>
      </c>
      <c r="E57" s="11" t="s">
        <v>1622</v>
      </c>
      <c r="F57" s="11" t="s">
        <v>1546</v>
      </c>
      <c r="G57" s="24" t="s">
        <v>199</v>
      </c>
      <c r="H57" s="25" t="s">
        <v>199</v>
      </c>
      <c r="I57" s="25" t="s">
        <v>200</v>
      </c>
      <c r="J57" s="12"/>
      <c r="K57" s="34" t="str">
        <f>"122,5"</f>
        <v>122,5</v>
      </c>
      <c r="L57" s="12" t="str">
        <f>"87,4528"</f>
        <v>87,4528</v>
      </c>
      <c r="M57" s="11" t="s">
        <v>264</v>
      </c>
    </row>
    <row r="58" spans="1:13">
      <c r="A58" s="12" t="s">
        <v>167</v>
      </c>
      <c r="B58" s="11" t="s">
        <v>818</v>
      </c>
      <c r="C58" s="11" t="s">
        <v>819</v>
      </c>
      <c r="D58" s="11" t="s">
        <v>820</v>
      </c>
      <c r="E58" s="11" t="s">
        <v>1622</v>
      </c>
      <c r="F58" s="11" t="s">
        <v>1547</v>
      </c>
      <c r="G58" s="25" t="s">
        <v>258</v>
      </c>
      <c r="H58" s="25" t="s">
        <v>220</v>
      </c>
      <c r="I58" s="24" t="s">
        <v>259</v>
      </c>
      <c r="J58" s="12"/>
      <c r="K58" s="34" t="str">
        <f>"100,0"</f>
        <v>100,0</v>
      </c>
      <c r="L58" s="12" t="str">
        <f>"74,7800"</f>
        <v>74,7800</v>
      </c>
      <c r="M58" s="11" t="s">
        <v>821</v>
      </c>
    </row>
    <row r="59" spans="1:13">
      <c r="A59" s="12" t="s">
        <v>165</v>
      </c>
      <c r="B59" s="11" t="s">
        <v>822</v>
      </c>
      <c r="C59" s="11" t="s">
        <v>823</v>
      </c>
      <c r="D59" s="11" t="s">
        <v>270</v>
      </c>
      <c r="E59" s="11" t="s">
        <v>1623</v>
      </c>
      <c r="F59" s="11" t="s">
        <v>1490</v>
      </c>
      <c r="G59" s="25" t="s">
        <v>14</v>
      </c>
      <c r="H59" s="24" t="s">
        <v>29</v>
      </c>
      <c r="I59" s="25" t="s">
        <v>29</v>
      </c>
      <c r="J59" s="12"/>
      <c r="K59" s="34" t="str">
        <f>"155,0"</f>
        <v>155,0</v>
      </c>
      <c r="L59" s="12" t="str">
        <f>"110,5460"</f>
        <v>110,5460</v>
      </c>
      <c r="M59" s="11" t="s">
        <v>264</v>
      </c>
    </row>
    <row r="60" spans="1:13">
      <c r="A60" s="12" t="s">
        <v>167</v>
      </c>
      <c r="B60" s="11" t="s">
        <v>824</v>
      </c>
      <c r="C60" s="11" t="s">
        <v>825</v>
      </c>
      <c r="D60" s="11" t="s">
        <v>826</v>
      </c>
      <c r="E60" s="11" t="s">
        <v>1623</v>
      </c>
      <c r="F60" s="11" t="s">
        <v>1548</v>
      </c>
      <c r="G60" s="24" t="s">
        <v>14</v>
      </c>
      <c r="H60" s="25" t="s">
        <v>14</v>
      </c>
      <c r="I60" s="24" t="s">
        <v>29</v>
      </c>
      <c r="J60" s="12"/>
      <c r="K60" s="34" t="str">
        <f>"150,0"</f>
        <v>150,0</v>
      </c>
      <c r="L60" s="12" t="str">
        <f>"108,1050"</f>
        <v>108,1050</v>
      </c>
      <c r="M60" s="11" t="s">
        <v>264</v>
      </c>
    </row>
    <row r="61" spans="1:13">
      <c r="A61" s="12" t="s">
        <v>168</v>
      </c>
      <c r="B61" s="11" t="s">
        <v>827</v>
      </c>
      <c r="C61" s="11" t="s">
        <v>828</v>
      </c>
      <c r="D61" s="11" t="s">
        <v>829</v>
      </c>
      <c r="E61" s="11" t="s">
        <v>1623</v>
      </c>
      <c r="F61" s="11" t="s">
        <v>1490</v>
      </c>
      <c r="G61" s="25" t="s">
        <v>266</v>
      </c>
      <c r="H61" s="25" t="s">
        <v>98</v>
      </c>
      <c r="I61" s="24" t="s">
        <v>54</v>
      </c>
      <c r="J61" s="12"/>
      <c r="K61" s="34" t="str">
        <f>"140,0"</f>
        <v>140,0</v>
      </c>
      <c r="L61" s="12" t="str">
        <f>"100,8000"</f>
        <v>100,8000</v>
      </c>
      <c r="M61" s="11" t="s">
        <v>264</v>
      </c>
    </row>
    <row r="62" spans="1:13">
      <c r="A62" s="12" t="s">
        <v>170</v>
      </c>
      <c r="B62" s="11" t="s">
        <v>830</v>
      </c>
      <c r="C62" s="11" t="s">
        <v>831</v>
      </c>
      <c r="D62" s="11" t="s">
        <v>545</v>
      </c>
      <c r="E62" s="11" t="s">
        <v>1623</v>
      </c>
      <c r="F62" s="11" t="s">
        <v>1549</v>
      </c>
      <c r="G62" s="25" t="s">
        <v>97</v>
      </c>
      <c r="H62" s="25" t="s">
        <v>98</v>
      </c>
      <c r="I62" s="24" t="s">
        <v>54</v>
      </c>
      <c r="J62" s="12"/>
      <c r="K62" s="34" t="str">
        <f>"140,0"</f>
        <v>140,0</v>
      </c>
      <c r="L62" s="12" t="str">
        <f>"99,9460"</f>
        <v>99,9460</v>
      </c>
      <c r="M62" s="11" t="s">
        <v>207</v>
      </c>
    </row>
    <row r="63" spans="1:13">
      <c r="A63" s="12" t="s">
        <v>542</v>
      </c>
      <c r="B63" s="11" t="s">
        <v>832</v>
      </c>
      <c r="C63" s="11" t="s">
        <v>833</v>
      </c>
      <c r="D63" s="11" t="s">
        <v>440</v>
      </c>
      <c r="E63" s="11" t="s">
        <v>1623</v>
      </c>
      <c r="F63" s="11" t="s">
        <v>1550</v>
      </c>
      <c r="G63" s="25" t="s">
        <v>97</v>
      </c>
      <c r="H63" s="24" t="s">
        <v>266</v>
      </c>
      <c r="I63" s="25" t="s">
        <v>266</v>
      </c>
      <c r="J63" s="12"/>
      <c r="K63" s="34" t="str">
        <f>"135,0"</f>
        <v>135,0</v>
      </c>
      <c r="L63" s="12" t="str">
        <f>"97,3890"</f>
        <v>97,3890</v>
      </c>
      <c r="M63" s="11" t="s">
        <v>264</v>
      </c>
    </row>
    <row r="64" spans="1:13">
      <c r="A64" s="12" t="s">
        <v>704</v>
      </c>
      <c r="B64" s="11" t="s">
        <v>834</v>
      </c>
      <c r="C64" s="11" t="s">
        <v>835</v>
      </c>
      <c r="D64" s="11" t="s">
        <v>440</v>
      </c>
      <c r="E64" s="11" t="s">
        <v>1623</v>
      </c>
      <c r="F64" s="11" t="s">
        <v>1551</v>
      </c>
      <c r="G64" s="25" t="s">
        <v>187</v>
      </c>
      <c r="H64" s="24" t="s">
        <v>266</v>
      </c>
      <c r="I64" s="25" t="s">
        <v>266</v>
      </c>
      <c r="J64" s="12"/>
      <c r="K64" s="34" t="str">
        <f>"135,0"</f>
        <v>135,0</v>
      </c>
      <c r="L64" s="12" t="str">
        <f>"97,3890"</f>
        <v>97,3890</v>
      </c>
      <c r="M64" s="11" t="s">
        <v>190</v>
      </c>
    </row>
    <row r="65" spans="1:13">
      <c r="A65" s="12" t="s">
        <v>705</v>
      </c>
      <c r="B65" s="11" t="s">
        <v>836</v>
      </c>
      <c r="C65" s="11" t="s">
        <v>837</v>
      </c>
      <c r="D65" s="11" t="s">
        <v>263</v>
      </c>
      <c r="E65" s="11" t="s">
        <v>1623</v>
      </c>
      <c r="F65" s="11" t="s">
        <v>1552</v>
      </c>
      <c r="G65" s="25" t="s">
        <v>62</v>
      </c>
      <c r="H65" s="24" t="s">
        <v>97</v>
      </c>
      <c r="I65" s="24" t="s">
        <v>266</v>
      </c>
      <c r="J65" s="12"/>
      <c r="K65" s="34" t="str">
        <f>"120,0"</f>
        <v>120,0</v>
      </c>
      <c r="L65" s="12" t="str">
        <f>"85,5120"</f>
        <v>85,5120</v>
      </c>
      <c r="M65" s="11" t="s">
        <v>264</v>
      </c>
    </row>
    <row r="66" spans="1:13">
      <c r="A66" s="12" t="s">
        <v>706</v>
      </c>
      <c r="B66" s="11" t="s">
        <v>838</v>
      </c>
      <c r="C66" s="11" t="s">
        <v>839</v>
      </c>
      <c r="D66" s="11" t="s">
        <v>25</v>
      </c>
      <c r="E66" s="11" t="s">
        <v>1623</v>
      </c>
      <c r="F66" s="11" t="s">
        <v>1490</v>
      </c>
      <c r="G66" s="24" t="s">
        <v>186</v>
      </c>
      <c r="H66" s="25" t="s">
        <v>186</v>
      </c>
      <c r="I66" s="24" t="s">
        <v>199</v>
      </c>
      <c r="J66" s="12"/>
      <c r="K66" s="34" t="str">
        <f>"110,0"</f>
        <v>110,0</v>
      </c>
      <c r="L66" s="12" t="str">
        <f>"79,1230"</f>
        <v>79,1230</v>
      </c>
      <c r="M66" s="11" t="s">
        <v>840</v>
      </c>
    </row>
    <row r="67" spans="1:13">
      <c r="A67" s="14" t="s">
        <v>165</v>
      </c>
      <c r="B67" s="13" t="s">
        <v>827</v>
      </c>
      <c r="C67" s="13" t="s">
        <v>841</v>
      </c>
      <c r="D67" s="13" t="s">
        <v>829</v>
      </c>
      <c r="E67" s="13" t="s">
        <v>1624</v>
      </c>
      <c r="F67" s="13" t="s">
        <v>1490</v>
      </c>
      <c r="G67" s="27" t="s">
        <v>266</v>
      </c>
      <c r="H67" s="27" t="s">
        <v>98</v>
      </c>
      <c r="I67" s="26" t="s">
        <v>54</v>
      </c>
      <c r="J67" s="14"/>
      <c r="K67" s="32" t="str">
        <f>"140,0"</f>
        <v>140,0</v>
      </c>
      <c r="L67" s="14" t="str">
        <f>"114,1056"</f>
        <v>114,1056</v>
      </c>
      <c r="M67" s="13" t="s">
        <v>264</v>
      </c>
    </row>
    <row r="68" spans="1:13">
      <c r="B68" s="5" t="s">
        <v>166</v>
      </c>
    </row>
    <row r="69" spans="1:13" ht="16">
      <c r="A69" s="48" t="s">
        <v>10</v>
      </c>
      <c r="B69" s="48"/>
      <c r="C69" s="48"/>
      <c r="D69" s="48"/>
      <c r="E69" s="48"/>
      <c r="F69" s="48"/>
      <c r="G69" s="48"/>
      <c r="H69" s="48"/>
      <c r="I69" s="48"/>
      <c r="J69" s="48"/>
    </row>
    <row r="70" spans="1:13">
      <c r="A70" s="10" t="s">
        <v>165</v>
      </c>
      <c r="B70" s="9" t="s">
        <v>842</v>
      </c>
      <c r="C70" s="9" t="s">
        <v>843</v>
      </c>
      <c r="D70" s="9" t="s">
        <v>844</v>
      </c>
      <c r="E70" s="9" t="s">
        <v>1625</v>
      </c>
      <c r="F70" s="9" t="s">
        <v>1489</v>
      </c>
      <c r="G70" s="22" t="s">
        <v>347</v>
      </c>
      <c r="H70" s="22" t="s">
        <v>259</v>
      </c>
      <c r="I70" s="23" t="s">
        <v>395</v>
      </c>
      <c r="J70" s="10"/>
      <c r="K70" s="31" t="str">
        <f>"102,5"</f>
        <v>102,5</v>
      </c>
      <c r="L70" s="10" t="str">
        <f>"72,8365"</f>
        <v>72,8365</v>
      </c>
      <c r="M70" s="9" t="s">
        <v>350</v>
      </c>
    </row>
    <row r="71" spans="1:13">
      <c r="A71" s="12" t="s">
        <v>165</v>
      </c>
      <c r="B71" s="11" t="s">
        <v>845</v>
      </c>
      <c r="C71" s="11" t="s">
        <v>846</v>
      </c>
      <c r="D71" s="11" t="s">
        <v>608</v>
      </c>
      <c r="E71" s="11" t="s">
        <v>1622</v>
      </c>
      <c r="F71" s="11" t="s">
        <v>1553</v>
      </c>
      <c r="G71" s="25" t="s">
        <v>266</v>
      </c>
      <c r="H71" s="24" t="s">
        <v>98</v>
      </c>
      <c r="I71" s="25" t="s">
        <v>98</v>
      </c>
      <c r="J71" s="12"/>
      <c r="K71" s="34" t="str">
        <f>"140,0"</f>
        <v>140,0</v>
      </c>
      <c r="L71" s="12" t="str">
        <f>"94,1360"</f>
        <v>94,1360</v>
      </c>
      <c r="M71" s="11" t="s">
        <v>264</v>
      </c>
    </row>
    <row r="72" spans="1:13">
      <c r="A72" s="12" t="s">
        <v>167</v>
      </c>
      <c r="B72" s="11" t="s">
        <v>847</v>
      </c>
      <c r="C72" s="11" t="s">
        <v>848</v>
      </c>
      <c r="D72" s="11" t="s">
        <v>849</v>
      </c>
      <c r="E72" s="11" t="s">
        <v>1622</v>
      </c>
      <c r="F72" s="11" t="s">
        <v>1490</v>
      </c>
      <c r="G72" s="25" t="s">
        <v>97</v>
      </c>
      <c r="H72" s="24" t="s">
        <v>98</v>
      </c>
      <c r="I72" s="24" t="s">
        <v>54</v>
      </c>
      <c r="J72" s="12"/>
      <c r="K72" s="34" t="str">
        <f>"130,0"</f>
        <v>130,0</v>
      </c>
      <c r="L72" s="12" t="str">
        <f>"90,9090"</f>
        <v>90,9090</v>
      </c>
      <c r="M72" s="11" t="s">
        <v>850</v>
      </c>
    </row>
    <row r="73" spans="1:13">
      <c r="A73" s="12" t="s">
        <v>165</v>
      </c>
      <c r="B73" s="11" t="s">
        <v>851</v>
      </c>
      <c r="C73" s="11" t="s">
        <v>852</v>
      </c>
      <c r="D73" s="11" t="s">
        <v>853</v>
      </c>
      <c r="E73" s="11" t="s">
        <v>1626</v>
      </c>
      <c r="F73" s="11" t="s">
        <v>1490</v>
      </c>
      <c r="G73" s="25" t="s">
        <v>395</v>
      </c>
      <c r="H73" s="25" t="s">
        <v>186</v>
      </c>
      <c r="I73" s="24" t="s">
        <v>367</v>
      </c>
      <c r="J73" s="12"/>
      <c r="K73" s="34" t="str">
        <f>"110,0"</f>
        <v>110,0</v>
      </c>
      <c r="L73" s="12" t="str">
        <f>"75,1520"</f>
        <v>75,1520</v>
      </c>
      <c r="M73" s="11" t="s">
        <v>264</v>
      </c>
    </row>
    <row r="74" spans="1:13">
      <c r="A74" s="12" t="s">
        <v>165</v>
      </c>
      <c r="B74" s="11" t="s">
        <v>854</v>
      </c>
      <c r="C74" s="11" t="s">
        <v>855</v>
      </c>
      <c r="D74" s="11" t="s">
        <v>50</v>
      </c>
      <c r="E74" s="11" t="s">
        <v>1623</v>
      </c>
      <c r="F74" s="11" t="s">
        <v>1554</v>
      </c>
      <c r="G74" s="25" t="s">
        <v>37</v>
      </c>
      <c r="H74" s="25" t="s">
        <v>139</v>
      </c>
      <c r="I74" s="25" t="s">
        <v>20</v>
      </c>
      <c r="J74" s="12"/>
      <c r="K74" s="34" t="str">
        <f>"180,0"</f>
        <v>180,0</v>
      </c>
      <c r="L74" s="12" t="str">
        <f>"121,4820"</f>
        <v>121,4820</v>
      </c>
      <c r="M74" s="11" t="s">
        <v>856</v>
      </c>
    </row>
    <row r="75" spans="1:13">
      <c r="A75" s="12" t="s">
        <v>167</v>
      </c>
      <c r="B75" s="11" t="s">
        <v>857</v>
      </c>
      <c r="C75" s="11" t="s">
        <v>858</v>
      </c>
      <c r="D75" s="11" t="s">
        <v>859</v>
      </c>
      <c r="E75" s="11" t="s">
        <v>1623</v>
      </c>
      <c r="F75" s="11" t="s">
        <v>1555</v>
      </c>
      <c r="G75" s="25" t="s">
        <v>266</v>
      </c>
      <c r="H75" s="25" t="s">
        <v>54</v>
      </c>
      <c r="I75" s="24" t="s">
        <v>216</v>
      </c>
      <c r="J75" s="12"/>
      <c r="K75" s="34" t="str">
        <f>"145,0"</f>
        <v>145,0</v>
      </c>
      <c r="L75" s="12" t="str">
        <f>"99,4700"</f>
        <v>99,4700</v>
      </c>
      <c r="M75" s="11" t="s">
        <v>860</v>
      </c>
    </row>
    <row r="76" spans="1:13">
      <c r="A76" s="12" t="s">
        <v>168</v>
      </c>
      <c r="B76" s="11" t="s">
        <v>861</v>
      </c>
      <c r="C76" s="11" t="s">
        <v>862</v>
      </c>
      <c r="D76" s="11" t="s">
        <v>550</v>
      </c>
      <c r="E76" s="11" t="s">
        <v>1623</v>
      </c>
      <c r="F76" s="11" t="s">
        <v>1490</v>
      </c>
      <c r="G76" s="25" t="s">
        <v>54</v>
      </c>
      <c r="H76" s="24" t="s">
        <v>14</v>
      </c>
      <c r="I76" s="24" t="s">
        <v>14</v>
      </c>
      <c r="J76" s="12"/>
      <c r="K76" s="34" t="str">
        <f>"145,0"</f>
        <v>145,0</v>
      </c>
      <c r="L76" s="12" t="str">
        <f>"97,9330"</f>
        <v>97,9330</v>
      </c>
      <c r="M76" s="11" t="s">
        <v>264</v>
      </c>
    </row>
    <row r="77" spans="1:13">
      <c r="A77" s="12" t="s">
        <v>170</v>
      </c>
      <c r="B77" s="11" t="s">
        <v>863</v>
      </c>
      <c r="C77" s="11" t="s">
        <v>864</v>
      </c>
      <c r="D77" s="11" t="s">
        <v>865</v>
      </c>
      <c r="E77" s="11" t="s">
        <v>1623</v>
      </c>
      <c r="F77" s="11" t="s">
        <v>1490</v>
      </c>
      <c r="G77" s="25" t="s">
        <v>62</v>
      </c>
      <c r="H77" s="25" t="s">
        <v>97</v>
      </c>
      <c r="I77" s="25" t="s">
        <v>98</v>
      </c>
      <c r="J77" s="12"/>
      <c r="K77" s="34" t="str">
        <f>"140,0"</f>
        <v>140,0</v>
      </c>
      <c r="L77" s="12" t="str">
        <f>"96,4320"</f>
        <v>96,4320</v>
      </c>
      <c r="M77" s="11" t="s">
        <v>871</v>
      </c>
    </row>
    <row r="78" spans="1:13">
      <c r="A78" s="12" t="s">
        <v>542</v>
      </c>
      <c r="B78" s="11" t="s">
        <v>866</v>
      </c>
      <c r="C78" s="11" t="s">
        <v>867</v>
      </c>
      <c r="D78" s="11" t="s">
        <v>614</v>
      </c>
      <c r="E78" s="11" t="s">
        <v>1623</v>
      </c>
      <c r="F78" s="11" t="s">
        <v>1535</v>
      </c>
      <c r="G78" s="25" t="s">
        <v>97</v>
      </c>
      <c r="H78" s="25" t="s">
        <v>234</v>
      </c>
      <c r="I78" s="25" t="s">
        <v>266</v>
      </c>
      <c r="J78" s="12"/>
      <c r="K78" s="34" t="str">
        <f>"135,0"</f>
        <v>135,0</v>
      </c>
      <c r="L78" s="12" t="str">
        <f>"90,5040"</f>
        <v>90,5040</v>
      </c>
      <c r="M78" s="11" t="s">
        <v>868</v>
      </c>
    </row>
    <row r="79" spans="1:13">
      <c r="A79" s="12" t="s">
        <v>165</v>
      </c>
      <c r="B79" s="11" t="s">
        <v>869</v>
      </c>
      <c r="C79" s="11" t="s">
        <v>870</v>
      </c>
      <c r="D79" s="11" t="s">
        <v>853</v>
      </c>
      <c r="E79" s="11" t="s">
        <v>1624</v>
      </c>
      <c r="F79" s="11" t="s">
        <v>1490</v>
      </c>
      <c r="G79" s="25" t="s">
        <v>187</v>
      </c>
      <c r="H79" s="24" t="s">
        <v>97</v>
      </c>
      <c r="I79" s="25" t="s">
        <v>266</v>
      </c>
      <c r="J79" s="12"/>
      <c r="K79" s="34" t="str">
        <f>"135,0"</f>
        <v>135,0</v>
      </c>
      <c r="L79" s="12" t="str">
        <f>"93,5232"</f>
        <v>93,5232</v>
      </c>
      <c r="M79" s="11" t="s">
        <v>871</v>
      </c>
    </row>
    <row r="80" spans="1:13">
      <c r="A80" s="12" t="s">
        <v>167</v>
      </c>
      <c r="B80" s="11" t="s">
        <v>872</v>
      </c>
      <c r="C80" s="11" t="s">
        <v>873</v>
      </c>
      <c r="D80" s="11" t="s">
        <v>874</v>
      </c>
      <c r="E80" s="11" t="s">
        <v>1624</v>
      </c>
      <c r="F80" s="11" t="s">
        <v>1508</v>
      </c>
      <c r="G80" s="25" t="s">
        <v>220</v>
      </c>
      <c r="H80" s="25" t="s">
        <v>186</v>
      </c>
      <c r="I80" s="24" t="s">
        <v>62</v>
      </c>
      <c r="J80" s="12"/>
      <c r="K80" s="34" t="str">
        <f>"110,0"</f>
        <v>110,0</v>
      </c>
      <c r="L80" s="12" t="str">
        <f>"76,9622"</f>
        <v>76,9622</v>
      </c>
      <c r="M80" s="11" t="s">
        <v>628</v>
      </c>
    </row>
    <row r="81" spans="1:13">
      <c r="A81" s="14" t="s">
        <v>165</v>
      </c>
      <c r="B81" s="13" t="s">
        <v>875</v>
      </c>
      <c r="C81" s="13" t="s">
        <v>876</v>
      </c>
      <c r="D81" s="13" t="s">
        <v>877</v>
      </c>
      <c r="E81" s="13" t="s">
        <v>1629</v>
      </c>
      <c r="F81" s="13" t="s">
        <v>1525</v>
      </c>
      <c r="G81" s="27" t="s">
        <v>186</v>
      </c>
      <c r="H81" s="27" t="s">
        <v>367</v>
      </c>
      <c r="I81" s="26" t="s">
        <v>62</v>
      </c>
      <c r="J81" s="14"/>
      <c r="K81" s="32" t="str">
        <f>"115,0"</f>
        <v>115,0</v>
      </c>
      <c r="L81" s="14" t="str">
        <f>"111,1376"</f>
        <v>111,1376</v>
      </c>
      <c r="M81" s="13" t="s">
        <v>729</v>
      </c>
    </row>
    <row r="82" spans="1:13">
      <c r="B82" s="5" t="s">
        <v>166</v>
      </c>
    </row>
    <row r="83" spans="1:13" ht="16">
      <c r="A83" s="48" t="s">
        <v>64</v>
      </c>
      <c r="B83" s="48"/>
      <c r="C83" s="48"/>
      <c r="D83" s="48"/>
      <c r="E83" s="48"/>
      <c r="F83" s="48"/>
      <c r="G83" s="48"/>
      <c r="H83" s="48"/>
      <c r="I83" s="48"/>
      <c r="J83" s="48"/>
    </row>
    <row r="84" spans="1:13">
      <c r="A84" s="10" t="s">
        <v>165</v>
      </c>
      <c r="B84" s="9" t="s">
        <v>878</v>
      </c>
      <c r="C84" s="9" t="s">
        <v>879</v>
      </c>
      <c r="D84" s="9" t="s">
        <v>880</v>
      </c>
      <c r="E84" s="9" t="s">
        <v>1625</v>
      </c>
      <c r="F84" s="9" t="s">
        <v>1489</v>
      </c>
      <c r="G84" s="22" t="s">
        <v>229</v>
      </c>
      <c r="H84" s="22" t="s">
        <v>186</v>
      </c>
      <c r="I84" s="22" t="s">
        <v>367</v>
      </c>
      <c r="J84" s="10"/>
      <c r="K84" s="31" t="str">
        <f>"115,0"</f>
        <v>115,0</v>
      </c>
      <c r="L84" s="10" t="str">
        <f>"76,8200"</f>
        <v>76,8200</v>
      </c>
      <c r="M84" s="9" t="s">
        <v>350</v>
      </c>
    </row>
    <row r="85" spans="1:13">
      <c r="A85" s="12" t="s">
        <v>165</v>
      </c>
      <c r="B85" s="11" t="s">
        <v>477</v>
      </c>
      <c r="C85" s="11" t="s">
        <v>478</v>
      </c>
      <c r="D85" s="11" t="s">
        <v>479</v>
      </c>
      <c r="E85" s="11" t="s">
        <v>1622</v>
      </c>
      <c r="F85" s="11" t="s">
        <v>1615</v>
      </c>
      <c r="G85" s="25" t="s">
        <v>62</v>
      </c>
      <c r="H85" s="24" t="s">
        <v>234</v>
      </c>
      <c r="I85" s="24" t="s">
        <v>234</v>
      </c>
      <c r="J85" s="12"/>
      <c r="K85" s="34" t="str">
        <f>"120,0"</f>
        <v>120,0</v>
      </c>
      <c r="L85" s="12" t="str">
        <f>"78,5880"</f>
        <v>78,5880</v>
      </c>
      <c r="M85" s="11" t="s">
        <v>264</v>
      </c>
    </row>
    <row r="86" spans="1:13">
      <c r="A86" s="12" t="s">
        <v>165</v>
      </c>
      <c r="B86" s="11" t="s">
        <v>881</v>
      </c>
      <c r="C86" s="11" t="s">
        <v>882</v>
      </c>
      <c r="D86" s="11" t="s">
        <v>631</v>
      </c>
      <c r="E86" s="11" t="s">
        <v>1626</v>
      </c>
      <c r="F86" s="11" t="s">
        <v>1493</v>
      </c>
      <c r="G86" s="25" t="s">
        <v>15</v>
      </c>
      <c r="H86" s="25" t="s">
        <v>37</v>
      </c>
      <c r="I86" s="24" t="s">
        <v>20</v>
      </c>
      <c r="J86" s="12"/>
      <c r="K86" s="34" t="str">
        <f>"170,0"</f>
        <v>170,0</v>
      </c>
      <c r="L86" s="12" t="str">
        <f>"108,8340"</f>
        <v>108,8340</v>
      </c>
      <c r="M86" s="11" t="s">
        <v>264</v>
      </c>
    </row>
    <row r="87" spans="1:13">
      <c r="A87" s="12" t="s">
        <v>167</v>
      </c>
      <c r="B87" s="11" t="s">
        <v>883</v>
      </c>
      <c r="C87" s="11" t="s">
        <v>884</v>
      </c>
      <c r="D87" s="11" t="s">
        <v>283</v>
      </c>
      <c r="E87" s="11" t="s">
        <v>1626</v>
      </c>
      <c r="F87" s="11" t="s">
        <v>1490</v>
      </c>
      <c r="G87" s="25" t="s">
        <v>55</v>
      </c>
      <c r="H87" s="25" t="s">
        <v>15</v>
      </c>
      <c r="I87" s="24" t="s">
        <v>19</v>
      </c>
      <c r="J87" s="12"/>
      <c r="K87" s="34" t="str">
        <f>"160,0"</f>
        <v>160,0</v>
      </c>
      <c r="L87" s="12" t="str">
        <f>"102,1440"</f>
        <v>102,1440</v>
      </c>
      <c r="M87" s="11" t="s">
        <v>264</v>
      </c>
    </row>
    <row r="88" spans="1:13">
      <c r="A88" s="12" t="s">
        <v>168</v>
      </c>
      <c r="B88" s="11" t="s">
        <v>885</v>
      </c>
      <c r="C88" s="11" t="s">
        <v>886</v>
      </c>
      <c r="D88" s="11" t="s">
        <v>557</v>
      </c>
      <c r="E88" s="11" t="s">
        <v>1626</v>
      </c>
      <c r="F88" s="11" t="s">
        <v>1556</v>
      </c>
      <c r="G88" s="25" t="s">
        <v>98</v>
      </c>
      <c r="H88" s="25" t="s">
        <v>54</v>
      </c>
      <c r="I88" s="25" t="s">
        <v>14</v>
      </c>
      <c r="J88" s="12"/>
      <c r="K88" s="34" t="str">
        <f>"150,0"</f>
        <v>150,0</v>
      </c>
      <c r="L88" s="12" t="str">
        <f>"96,3150"</f>
        <v>96,3150</v>
      </c>
      <c r="M88" s="11" t="s">
        <v>264</v>
      </c>
    </row>
    <row r="89" spans="1:13">
      <c r="A89" s="12" t="s">
        <v>170</v>
      </c>
      <c r="B89" s="11" t="s">
        <v>887</v>
      </c>
      <c r="C89" s="11" t="s">
        <v>888</v>
      </c>
      <c r="D89" s="11" t="s">
        <v>889</v>
      </c>
      <c r="E89" s="11" t="s">
        <v>1626</v>
      </c>
      <c r="F89" s="11" t="s">
        <v>1490</v>
      </c>
      <c r="G89" s="25" t="s">
        <v>271</v>
      </c>
      <c r="H89" s="24" t="s">
        <v>234</v>
      </c>
      <c r="I89" s="25" t="s">
        <v>234</v>
      </c>
      <c r="J89" s="12"/>
      <c r="K89" s="34" t="str">
        <f>"132,5"</f>
        <v>132,5</v>
      </c>
      <c r="L89" s="12" t="str">
        <f>"86,0588"</f>
        <v>86,0588</v>
      </c>
      <c r="M89" s="11" t="s">
        <v>264</v>
      </c>
    </row>
    <row r="90" spans="1:13">
      <c r="A90" s="12" t="s">
        <v>542</v>
      </c>
      <c r="B90" s="11" t="s">
        <v>890</v>
      </c>
      <c r="C90" s="11" t="s">
        <v>891</v>
      </c>
      <c r="D90" s="11" t="s">
        <v>892</v>
      </c>
      <c r="E90" s="11" t="s">
        <v>1626</v>
      </c>
      <c r="F90" s="11" t="s">
        <v>1557</v>
      </c>
      <c r="G90" s="25" t="s">
        <v>62</v>
      </c>
      <c r="H90" s="25" t="s">
        <v>234</v>
      </c>
      <c r="I90" s="24" t="s">
        <v>266</v>
      </c>
      <c r="J90" s="12"/>
      <c r="K90" s="34" t="str">
        <f>"132,5"</f>
        <v>132,5</v>
      </c>
      <c r="L90" s="12" t="str">
        <f>"85,3300"</f>
        <v>85,3300</v>
      </c>
      <c r="M90" s="11" t="s">
        <v>264</v>
      </c>
    </row>
    <row r="91" spans="1:13">
      <c r="A91" s="12" t="s">
        <v>704</v>
      </c>
      <c r="B91" s="11" t="s">
        <v>893</v>
      </c>
      <c r="C91" s="11" t="s">
        <v>894</v>
      </c>
      <c r="D91" s="11" t="s">
        <v>895</v>
      </c>
      <c r="E91" s="11" t="s">
        <v>1626</v>
      </c>
      <c r="F91" s="11" t="s">
        <v>1490</v>
      </c>
      <c r="G91" s="24" t="s">
        <v>62</v>
      </c>
      <c r="H91" s="24" t="s">
        <v>62</v>
      </c>
      <c r="I91" s="25" t="s">
        <v>62</v>
      </c>
      <c r="J91" s="12"/>
      <c r="K91" s="34" t="str">
        <f>"120,0"</f>
        <v>120,0</v>
      </c>
      <c r="L91" s="12" t="str">
        <f>"79,1040"</f>
        <v>79,1040</v>
      </c>
      <c r="M91" s="11" t="s">
        <v>1435</v>
      </c>
    </row>
    <row r="92" spans="1:13">
      <c r="A92" s="12" t="s">
        <v>165</v>
      </c>
      <c r="B92" s="11" t="s">
        <v>896</v>
      </c>
      <c r="C92" s="11" t="s">
        <v>897</v>
      </c>
      <c r="D92" s="11" t="s">
        <v>631</v>
      </c>
      <c r="E92" s="11" t="s">
        <v>1623</v>
      </c>
      <c r="F92" s="11" t="s">
        <v>1510</v>
      </c>
      <c r="G92" s="25" t="s">
        <v>75</v>
      </c>
      <c r="H92" s="25" t="s">
        <v>114</v>
      </c>
      <c r="I92" s="25" t="s">
        <v>115</v>
      </c>
      <c r="J92" s="12"/>
      <c r="K92" s="34" t="str">
        <f>"197,5"</f>
        <v>197,5</v>
      </c>
      <c r="L92" s="12" t="str">
        <f>"126,4395"</f>
        <v>126,4395</v>
      </c>
      <c r="M92" s="11" t="s">
        <v>898</v>
      </c>
    </row>
    <row r="93" spans="1:13">
      <c r="A93" s="12" t="s">
        <v>167</v>
      </c>
      <c r="B93" s="11" t="s">
        <v>899</v>
      </c>
      <c r="C93" s="11" t="s">
        <v>900</v>
      </c>
      <c r="D93" s="11" t="s">
        <v>283</v>
      </c>
      <c r="E93" s="11" t="s">
        <v>1623</v>
      </c>
      <c r="F93" s="11" t="s">
        <v>1490</v>
      </c>
      <c r="G93" s="25" t="s">
        <v>75</v>
      </c>
      <c r="H93" s="25" t="s">
        <v>114</v>
      </c>
      <c r="I93" s="25" t="s">
        <v>115</v>
      </c>
      <c r="J93" s="12"/>
      <c r="K93" s="34" t="str">
        <f>"197,5"</f>
        <v>197,5</v>
      </c>
      <c r="L93" s="12" t="str">
        <f>"126,0840"</f>
        <v>126,0840</v>
      </c>
      <c r="M93" s="11" t="s">
        <v>901</v>
      </c>
    </row>
    <row r="94" spans="1:13">
      <c r="A94" s="12" t="s">
        <v>168</v>
      </c>
      <c r="B94" s="11" t="s">
        <v>902</v>
      </c>
      <c r="C94" s="11" t="s">
        <v>236</v>
      </c>
      <c r="D94" s="11" t="s">
        <v>903</v>
      </c>
      <c r="E94" s="11" t="s">
        <v>1623</v>
      </c>
      <c r="F94" s="11" t="s">
        <v>1558</v>
      </c>
      <c r="G94" s="24" t="s">
        <v>19</v>
      </c>
      <c r="H94" s="24" t="s">
        <v>139</v>
      </c>
      <c r="I94" s="25" t="s">
        <v>139</v>
      </c>
      <c r="J94" s="12"/>
      <c r="K94" s="34" t="str">
        <f>"175,0"</f>
        <v>175,0</v>
      </c>
      <c r="L94" s="12" t="str">
        <f>"112,1050"</f>
        <v>112,1050</v>
      </c>
      <c r="M94" s="11" t="s">
        <v>264</v>
      </c>
    </row>
    <row r="95" spans="1:13">
      <c r="A95" s="12" t="s">
        <v>170</v>
      </c>
      <c r="B95" s="11" t="s">
        <v>490</v>
      </c>
      <c r="C95" s="11" t="s">
        <v>491</v>
      </c>
      <c r="D95" s="11" t="s">
        <v>67</v>
      </c>
      <c r="E95" s="11" t="s">
        <v>1623</v>
      </c>
      <c r="F95" s="11" t="s">
        <v>1490</v>
      </c>
      <c r="G95" s="25" t="s">
        <v>15</v>
      </c>
      <c r="H95" s="25" t="s">
        <v>19</v>
      </c>
      <c r="I95" s="24" t="s">
        <v>238</v>
      </c>
      <c r="J95" s="12"/>
      <c r="K95" s="34" t="str">
        <f>"165,0"</f>
        <v>165,0</v>
      </c>
      <c r="L95" s="12" t="str">
        <f>"105,8145"</f>
        <v>105,8145</v>
      </c>
      <c r="M95" s="11" t="s">
        <v>93</v>
      </c>
    </row>
    <row r="96" spans="1:13">
      <c r="A96" s="12" t="s">
        <v>542</v>
      </c>
      <c r="B96" s="11" t="s">
        <v>904</v>
      </c>
      <c r="C96" s="11" t="s">
        <v>905</v>
      </c>
      <c r="D96" s="11" t="s">
        <v>291</v>
      </c>
      <c r="E96" s="11" t="s">
        <v>1623</v>
      </c>
      <c r="F96" s="11" t="s">
        <v>1523</v>
      </c>
      <c r="G96" s="25" t="s">
        <v>29</v>
      </c>
      <c r="H96" s="25" t="s">
        <v>679</v>
      </c>
      <c r="I96" s="24" t="s">
        <v>238</v>
      </c>
      <c r="J96" s="12"/>
      <c r="K96" s="34" t="str">
        <f>"162,5"</f>
        <v>162,5</v>
      </c>
      <c r="L96" s="12" t="str">
        <f>"106,2750"</f>
        <v>106,2750</v>
      </c>
      <c r="M96" s="11" t="s">
        <v>264</v>
      </c>
    </row>
    <row r="97" spans="1:13">
      <c r="A97" s="12" t="s">
        <v>704</v>
      </c>
      <c r="B97" s="11" t="s">
        <v>487</v>
      </c>
      <c r="C97" s="11" t="s">
        <v>488</v>
      </c>
      <c r="D97" s="11" t="s">
        <v>489</v>
      </c>
      <c r="E97" s="11" t="s">
        <v>1623</v>
      </c>
      <c r="F97" s="11" t="s">
        <v>1498</v>
      </c>
      <c r="G97" s="25" t="s">
        <v>98</v>
      </c>
      <c r="H97" s="25" t="s">
        <v>14</v>
      </c>
      <c r="I97" s="25" t="s">
        <v>29</v>
      </c>
      <c r="J97" s="12"/>
      <c r="K97" s="34" t="str">
        <f>"155,0"</f>
        <v>155,0</v>
      </c>
      <c r="L97" s="12" t="str">
        <f>"99,9285"</f>
        <v>99,9285</v>
      </c>
      <c r="M97" s="11" t="s">
        <v>264</v>
      </c>
    </row>
    <row r="98" spans="1:13">
      <c r="A98" s="12" t="s">
        <v>705</v>
      </c>
      <c r="B98" s="11" t="s">
        <v>906</v>
      </c>
      <c r="C98" s="11" t="s">
        <v>907</v>
      </c>
      <c r="D98" s="11" t="s">
        <v>908</v>
      </c>
      <c r="E98" s="11" t="s">
        <v>1623</v>
      </c>
      <c r="F98" s="11" t="s">
        <v>1559</v>
      </c>
      <c r="G98" s="25" t="s">
        <v>14</v>
      </c>
      <c r="H98" s="24" t="s">
        <v>29</v>
      </c>
      <c r="I98" s="24" t="s">
        <v>29</v>
      </c>
      <c r="J98" s="12"/>
      <c r="K98" s="34" t="str">
        <f>"150,0"</f>
        <v>150,0</v>
      </c>
      <c r="L98" s="12" t="str">
        <f>"95,9700"</f>
        <v>95,9700</v>
      </c>
      <c r="M98" s="11" t="s">
        <v>264</v>
      </c>
    </row>
    <row r="99" spans="1:13">
      <c r="A99" s="12" t="s">
        <v>706</v>
      </c>
      <c r="B99" s="11" t="s">
        <v>909</v>
      </c>
      <c r="C99" s="11" t="s">
        <v>910</v>
      </c>
      <c r="D99" s="11" t="s">
        <v>911</v>
      </c>
      <c r="E99" s="11" t="s">
        <v>1623</v>
      </c>
      <c r="F99" s="11" t="s">
        <v>1560</v>
      </c>
      <c r="G99" s="25" t="s">
        <v>98</v>
      </c>
      <c r="H99" s="25" t="s">
        <v>54</v>
      </c>
      <c r="I99" s="25" t="s">
        <v>216</v>
      </c>
      <c r="J99" s="12"/>
      <c r="K99" s="34" t="str">
        <f>"147,5"</f>
        <v>147,5</v>
      </c>
      <c r="L99" s="12" t="str">
        <f>"95,2113"</f>
        <v>95,2113</v>
      </c>
      <c r="M99" s="11" t="s">
        <v>912</v>
      </c>
    </row>
    <row r="100" spans="1:13">
      <c r="A100" s="12" t="s">
        <v>1020</v>
      </c>
      <c r="B100" s="11" t="s">
        <v>913</v>
      </c>
      <c r="C100" s="11" t="s">
        <v>914</v>
      </c>
      <c r="D100" s="11" t="s">
        <v>294</v>
      </c>
      <c r="E100" s="11" t="s">
        <v>1623</v>
      </c>
      <c r="F100" s="11" t="s">
        <v>1490</v>
      </c>
      <c r="G100" s="25" t="s">
        <v>251</v>
      </c>
      <c r="H100" s="24" t="s">
        <v>54</v>
      </c>
      <c r="I100" s="24" t="s">
        <v>54</v>
      </c>
      <c r="J100" s="12"/>
      <c r="K100" s="34" t="str">
        <f>"142,5"</f>
        <v>142,5</v>
      </c>
      <c r="L100" s="12" t="str">
        <f>"91,5990"</f>
        <v>91,5990</v>
      </c>
      <c r="M100" s="11" t="s">
        <v>93</v>
      </c>
    </row>
    <row r="101" spans="1:13">
      <c r="A101" s="12" t="s">
        <v>1021</v>
      </c>
      <c r="B101" s="11" t="s">
        <v>915</v>
      </c>
      <c r="C101" s="11" t="s">
        <v>637</v>
      </c>
      <c r="D101" s="11" t="s">
        <v>916</v>
      </c>
      <c r="E101" s="11" t="s">
        <v>1623</v>
      </c>
      <c r="F101" s="11" t="s">
        <v>1557</v>
      </c>
      <c r="G101" s="25" t="s">
        <v>271</v>
      </c>
      <c r="H101" s="25" t="s">
        <v>234</v>
      </c>
      <c r="I101" s="25" t="s">
        <v>266</v>
      </c>
      <c r="J101" s="12"/>
      <c r="K101" s="34" t="str">
        <f>"135,0"</f>
        <v>135,0</v>
      </c>
      <c r="L101" s="12" t="str">
        <f>"86,5350"</f>
        <v>86,5350</v>
      </c>
      <c r="M101" s="11" t="s">
        <v>917</v>
      </c>
    </row>
    <row r="102" spans="1:13">
      <c r="A102" s="12" t="s">
        <v>1022</v>
      </c>
      <c r="B102" s="11" t="s">
        <v>918</v>
      </c>
      <c r="C102" s="11" t="s">
        <v>919</v>
      </c>
      <c r="D102" s="11" t="s">
        <v>920</v>
      </c>
      <c r="E102" s="11" t="s">
        <v>1623</v>
      </c>
      <c r="F102" s="11" t="s">
        <v>1490</v>
      </c>
      <c r="G102" s="24" t="s">
        <v>234</v>
      </c>
      <c r="H102" s="25" t="s">
        <v>234</v>
      </c>
      <c r="I102" s="24" t="s">
        <v>266</v>
      </c>
      <c r="J102" s="12"/>
      <c r="K102" s="34" t="str">
        <f>"132,5"</f>
        <v>132,5</v>
      </c>
      <c r="L102" s="12" t="str">
        <f>"86,2707"</f>
        <v>86,2707</v>
      </c>
      <c r="M102" s="11" t="s">
        <v>921</v>
      </c>
    </row>
    <row r="103" spans="1:13">
      <c r="A103" s="12" t="s">
        <v>1023</v>
      </c>
      <c r="B103" s="11" t="s">
        <v>922</v>
      </c>
      <c r="C103" s="11" t="s">
        <v>923</v>
      </c>
      <c r="D103" s="11" t="s">
        <v>489</v>
      </c>
      <c r="E103" s="11" t="s">
        <v>1623</v>
      </c>
      <c r="F103" s="11" t="s">
        <v>1492</v>
      </c>
      <c r="G103" s="25" t="s">
        <v>234</v>
      </c>
      <c r="H103" s="24" t="s">
        <v>98</v>
      </c>
      <c r="I103" s="24" t="s">
        <v>98</v>
      </c>
      <c r="J103" s="12"/>
      <c r="K103" s="34" t="str">
        <f>"132,5"</f>
        <v>132,5</v>
      </c>
      <c r="L103" s="12" t="str">
        <f>"85,4227"</f>
        <v>85,4227</v>
      </c>
      <c r="M103" s="11" t="s">
        <v>264</v>
      </c>
    </row>
    <row r="104" spans="1:13">
      <c r="A104" s="12" t="s">
        <v>1024</v>
      </c>
      <c r="B104" s="11" t="s">
        <v>924</v>
      </c>
      <c r="C104" s="11" t="s">
        <v>925</v>
      </c>
      <c r="D104" s="11" t="s">
        <v>494</v>
      </c>
      <c r="E104" s="11" t="s">
        <v>1623</v>
      </c>
      <c r="F104" s="11" t="s">
        <v>1490</v>
      </c>
      <c r="G104" s="25" t="s">
        <v>187</v>
      </c>
      <c r="H104" s="25" t="s">
        <v>97</v>
      </c>
      <c r="I104" s="24" t="s">
        <v>266</v>
      </c>
      <c r="J104" s="12"/>
      <c r="K104" s="34" t="str">
        <f>"130,0"</f>
        <v>130,0</v>
      </c>
      <c r="L104" s="12" t="str">
        <f>"83,6160"</f>
        <v>83,6160</v>
      </c>
      <c r="M104" s="11" t="s">
        <v>482</v>
      </c>
    </row>
    <row r="105" spans="1:13">
      <c r="A105" s="12" t="s">
        <v>169</v>
      </c>
      <c r="B105" s="11" t="s">
        <v>926</v>
      </c>
      <c r="C105" s="11" t="s">
        <v>927</v>
      </c>
      <c r="D105" s="11" t="s">
        <v>557</v>
      </c>
      <c r="E105" s="11" t="s">
        <v>1623</v>
      </c>
      <c r="F105" s="11" t="s">
        <v>1490</v>
      </c>
      <c r="G105" s="24" t="s">
        <v>679</v>
      </c>
      <c r="H105" s="24" t="s">
        <v>679</v>
      </c>
      <c r="I105" s="24" t="s">
        <v>679</v>
      </c>
      <c r="J105" s="12"/>
      <c r="K105" s="34">
        <v>0</v>
      </c>
      <c r="L105" s="12" t="str">
        <f>"0,0000"</f>
        <v>0,0000</v>
      </c>
      <c r="M105" s="11" t="s">
        <v>264</v>
      </c>
    </row>
    <row r="106" spans="1:13">
      <c r="A106" s="12" t="s">
        <v>165</v>
      </c>
      <c r="B106" s="11" t="s">
        <v>904</v>
      </c>
      <c r="C106" s="11" t="s">
        <v>928</v>
      </c>
      <c r="D106" s="11" t="s">
        <v>291</v>
      </c>
      <c r="E106" s="11" t="s">
        <v>1624</v>
      </c>
      <c r="F106" s="11" t="s">
        <v>1523</v>
      </c>
      <c r="G106" s="25" t="s">
        <v>29</v>
      </c>
      <c r="H106" s="25" t="s">
        <v>679</v>
      </c>
      <c r="I106" s="24" t="s">
        <v>238</v>
      </c>
      <c r="J106" s="12"/>
      <c r="K106" s="34" t="str">
        <f>"162,5"</f>
        <v>162,5</v>
      </c>
      <c r="L106" s="12" t="str">
        <f>"106,8064"</f>
        <v>106,8064</v>
      </c>
      <c r="M106" s="11" t="s">
        <v>264</v>
      </c>
    </row>
    <row r="107" spans="1:13">
      <c r="A107" s="12" t="s">
        <v>169</v>
      </c>
      <c r="B107" s="11" t="s">
        <v>929</v>
      </c>
      <c r="C107" s="11" t="s">
        <v>930</v>
      </c>
      <c r="D107" s="11" t="s">
        <v>931</v>
      </c>
      <c r="E107" s="11" t="s">
        <v>1624</v>
      </c>
      <c r="F107" s="11" t="s">
        <v>1535</v>
      </c>
      <c r="G107" s="24" t="s">
        <v>19</v>
      </c>
      <c r="H107" s="24" t="s">
        <v>19</v>
      </c>
      <c r="I107" s="24" t="s">
        <v>19</v>
      </c>
      <c r="J107" s="12"/>
      <c r="K107" s="34">
        <v>0</v>
      </c>
      <c r="L107" s="12" t="str">
        <f>"0,0000"</f>
        <v>0,0000</v>
      </c>
      <c r="M107" s="11" t="s">
        <v>932</v>
      </c>
    </row>
    <row r="108" spans="1:13">
      <c r="A108" s="14" t="s">
        <v>165</v>
      </c>
      <c r="B108" s="13" t="s">
        <v>933</v>
      </c>
      <c r="C108" s="13" t="s">
        <v>934</v>
      </c>
      <c r="D108" s="13" t="s">
        <v>67</v>
      </c>
      <c r="E108" s="13" t="s">
        <v>1628</v>
      </c>
      <c r="F108" s="13" t="s">
        <v>1496</v>
      </c>
      <c r="G108" s="27" t="s">
        <v>229</v>
      </c>
      <c r="H108" s="26" t="s">
        <v>186</v>
      </c>
      <c r="I108" s="26" t="s">
        <v>186</v>
      </c>
      <c r="J108" s="14"/>
      <c r="K108" s="32" t="str">
        <f>"105,0"</f>
        <v>105,0</v>
      </c>
      <c r="L108" s="14" t="str">
        <f>"130,6328"</f>
        <v>130,6328</v>
      </c>
      <c r="M108" s="13" t="s">
        <v>935</v>
      </c>
    </row>
    <row r="109" spans="1:13">
      <c r="B109" s="5" t="s">
        <v>166</v>
      </c>
    </row>
    <row r="110" spans="1:13" ht="16">
      <c r="A110" s="48" t="s">
        <v>70</v>
      </c>
      <c r="B110" s="48"/>
      <c r="C110" s="48"/>
      <c r="D110" s="48"/>
      <c r="E110" s="48"/>
      <c r="F110" s="48"/>
      <c r="G110" s="48"/>
      <c r="H110" s="48"/>
      <c r="I110" s="48"/>
      <c r="J110" s="48"/>
    </row>
    <row r="111" spans="1:13">
      <c r="A111" s="10" t="s">
        <v>165</v>
      </c>
      <c r="B111" s="9" t="s">
        <v>936</v>
      </c>
      <c r="C111" s="9" t="s">
        <v>937</v>
      </c>
      <c r="D111" s="9" t="s">
        <v>938</v>
      </c>
      <c r="E111" s="9" t="s">
        <v>1625</v>
      </c>
      <c r="F111" s="9" t="s">
        <v>1561</v>
      </c>
      <c r="G111" s="23" t="s">
        <v>371</v>
      </c>
      <c r="H111" s="22" t="s">
        <v>371</v>
      </c>
      <c r="I111" s="22" t="s">
        <v>179</v>
      </c>
      <c r="J111" s="10"/>
      <c r="K111" s="31" t="str">
        <f>"80,0"</f>
        <v>80,0</v>
      </c>
      <c r="L111" s="10" t="str">
        <f>"50,9840"</f>
        <v>50,9840</v>
      </c>
      <c r="M111" s="9" t="s">
        <v>264</v>
      </c>
    </row>
    <row r="112" spans="1:13">
      <c r="A112" s="12" t="s">
        <v>165</v>
      </c>
      <c r="B112" s="11" t="s">
        <v>939</v>
      </c>
      <c r="C112" s="11" t="s">
        <v>940</v>
      </c>
      <c r="D112" s="11" t="s">
        <v>501</v>
      </c>
      <c r="E112" s="11" t="s">
        <v>1626</v>
      </c>
      <c r="F112" s="11" t="s">
        <v>1562</v>
      </c>
      <c r="G112" s="25" t="s">
        <v>253</v>
      </c>
      <c r="H112" s="24" t="s">
        <v>679</v>
      </c>
      <c r="I112" s="24" t="s">
        <v>679</v>
      </c>
      <c r="J112" s="12"/>
      <c r="K112" s="34" t="str">
        <f>"157,5"</f>
        <v>157,5</v>
      </c>
      <c r="L112" s="12" t="str">
        <f>"98,3430"</f>
        <v>98,3430</v>
      </c>
      <c r="M112" s="11" t="s">
        <v>264</v>
      </c>
    </row>
    <row r="113" spans="1:13">
      <c r="A113" s="12" t="s">
        <v>167</v>
      </c>
      <c r="B113" s="11" t="s">
        <v>941</v>
      </c>
      <c r="C113" s="11" t="s">
        <v>942</v>
      </c>
      <c r="D113" s="11" t="s">
        <v>943</v>
      </c>
      <c r="E113" s="11" t="s">
        <v>1626</v>
      </c>
      <c r="F113" s="11" t="s">
        <v>1490</v>
      </c>
      <c r="G113" s="25" t="s">
        <v>234</v>
      </c>
      <c r="H113" s="24" t="s">
        <v>204</v>
      </c>
      <c r="I113" s="25" t="s">
        <v>204</v>
      </c>
      <c r="J113" s="12"/>
      <c r="K113" s="34" t="str">
        <f>"137,5"</f>
        <v>137,5</v>
      </c>
      <c r="L113" s="12" t="str">
        <f>"84,3012"</f>
        <v>84,3012</v>
      </c>
      <c r="M113" s="11" t="s">
        <v>737</v>
      </c>
    </row>
    <row r="114" spans="1:13">
      <c r="A114" s="12" t="s">
        <v>165</v>
      </c>
      <c r="B114" s="11" t="s">
        <v>944</v>
      </c>
      <c r="C114" s="11" t="s">
        <v>299</v>
      </c>
      <c r="D114" s="11" t="s">
        <v>945</v>
      </c>
      <c r="E114" s="11" t="s">
        <v>1623</v>
      </c>
      <c r="F114" s="11" t="s">
        <v>1619</v>
      </c>
      <c r="G114" s="25" t="s">
        <v>265</v>
      </c>
      <c r="H114" s="25" t="s">
        <v>69</v>
      </c>
      <c r="I114" s="24" t="s">
        <v>51</v>
      </c>
      <c r="J114" s="12"/>
      <c r="K114" s="34" t="str">
        <f>"202,5"</f>
        <v>202,5</v>
      </c>
      <c r="L114" s="12" t="str">
        <f>"123,7882"</f>
        <v>123,7882</v>
      </c>
      <c r="M114" s="11" t="s">
        <v>264</v>
      </c>
    </row>
    <row r="115" spans="1:13">
      <c r="A115" s="12" t="s">
        <v>167</v>
      </c>
      <c r="B115" s="11" t="s">
        <v>946</v>
      </c>
      <c r="C115" s="11" t="s">
        <v>947</v>
      </c>
      <c r="D115" s="11" t="s">
        <v>652</v>
      </c>
      <c r="E115" s="11" t="s">
        <v>1623</v>
      </c>
      <c r="F115" s="11" t="s">
        <v>1563</v>
      </c>
      <c r="G115" s="24" t="s">
        <v>75</v>
      </c>
      <c r="H115" s="25" t="s">
        <v>21</v>
      </c>
      <c r="I115" s="25" t="s">
        <v>115</v>
      </c>
      <c r="J115" s="12"/>
      <c r="K115" s="34" t="str">
        <f>"197,5"</f>
        <v>197,5</v>
      </c>
      <c r="L115" s="12" t="str">
        <f>"120,8898"</f>
        <v>120,8898</v>
      </c>
      <c r="M115" s="11" t="s">
        <v>264</v>
      </c>
    </row>
    <row r="116" spans="1:13">
      <c r="A116" s="12" t="s">
        <v>168</v>
      </c>
      <c r="B116" s="11" t="s">
        <v>948</v>
      </c>
      <c r="C116" s="11" t="s">
        <v>949</v>
      </c>
      <c r="D116" s="11" t="s">
        <v>950</v>
      </c>
      <c r="E116" s="11" t="s">
        <v>1623</v>
      </c>
      <c r="F116" s="11" t="s">
        <v>1564</v>
      </c>
      <c r="G116" s="24" t="s">
        <v>20</v>
      </c>
      <c r="H116" s="25" t="s">
        <v>20</v>
      </c>
      <c r="I116" s="25" t="s">
        <v>39</v>
      </c>
      <c r="J116" s="12"/>
      <c r="K116" s="34" t="str">
        <f>"187,5"</f>
        <v>187,5</v>
      </c>
      <c r="L116" s="12" t="str">
        <f>"114,3375"</f>
        <v>114,3375</v>
      </c>
      <c r="M116" s="11" t="s">
        <v>951</v>
      </c>
    </row>
    <row r="117" spans="1:13">
      <c r="A117" s="12" t="s">
        <v>170</v>
      </c>
      <c r="B117" s="11" t="s">
        <v>952</v>
      </c>
      <c r="C117" s="11" t="s">
        <v>953</v>
      </c>
      <c r="D117" s="11" t="s">
        <v>954</v>
      </c>
      <c r="E117" s="11" t="s">
        <v>1623</v>
      </c>
      <c r="F117" s="11" t="s">
        <v>1565</v>
      </c>
      <c r="G117" s="24" t="s">
        <v>75</v>
      </c>
      <c r="H117" s="25" t="s">
        <v>75</v>
      </c>
      <c r="I117" s="24" t="s">
        <v>21</v>
      </c>
      <c r="J117" s="12"/>
      <c r="K117" s="34" t="str">
        <f>"185,0"</f>
        <v>185,0</v>
      </c>
      <c r="L117" s="12" t="str">
        <f>"112,6280"</f>
        <v>112,6280</v>
      </c>
      <c r="M117" s="11" t="s">
        <v>264</v>
      </c>
    </row>
    <row r="118" spans="1:13">
      <c r="A118" s="12" t="s">
        <v>542</v>
      </c>
      <c r="B118" s="11" t="s">
        <v>955</v>
      </c>
      <c r="C118" s="11" t="s">
        <v>956</v>
      </c>
      <c r="D118" s="11" t="s">
        <v>954</v>
      </c>
      <c r="E118" s="11" t="s">
        <v>1623</v>
      </c>
      <c r="F118" s="11" t="s">
        <v>1606</v>
      </c>
      <c r="G118" s="25" t="s">
        <v>74</v>
      </c>
      <c r="H118" s="24" t="s">
        <v>75</v>
      </c>
      <c r="I118" s="24" t="s">
        <v>75</v>
      </c>
      <c r="J118" s="12"/>
      <c r="K118" s="34" t="str">
        <f>"177,5"</f>
        <v>177,5</v>
      </c>
      <c r="L118" s="12" t="str">
        <f>"108,0620"</f>
        <v>108,0620</v>
      </c>
      <c r="M118" s="11" t="s">
        <v>264</v>
      </c>
    </row>
    <row r="119" spans="1:13">
      <c r="A119" s="12" t="s">
        <v>704</v>
      </c>
      <c r="B119" s="11" t="s">
        <v>957</v>
      </c>
      <c r="C119" s="11" t="s">
        <v>958</v>
      </c>
      <c r="D119" s="11" t="s">
        <v>959</v>
      </c>
      <c r="E119" s="11" t="s">
        <v>1623</v>
      </c>
      <c r="F119" s="11" t="s">
        <v>1490</v>
      </c>
      <c r="G119" s="25" t="s">
        <v>139</v>
      </c>
      <c r="H119" s="24" t="s">
        <v>75</v>
      </c>
      <c r="I119" s="24" t="s">
        <v>75</v>
      </c>
      <c r="J119" s="12"/>
      <c r="K119" s="34" t="str">
        <f>"175,0"</f>
        <v>175,0</v>
      </c>
      <c r="L119" s="12" t="str">
        <f>"109,5500"</f>
        <v>109,5500</v>
      </c>
      <c r="M119" s="11" t="s">
        <v>264</v>
      </c>
    </row>
    <row r="120" spans="1:13">
      <c r="A120" s="12" t="s">
        <v>165</v>
      </c>
      <c r="B120" s="11" t="s">
        <v>960</v>
      </c>
      <c r="C120" s="11" t="s">
        <v>961</v>
      </c>
      <c r="D120" s="11" t="s">
        <v>945</v>
      </c>
      <c r="E120" s="11" t="s">
        <v>1624</v>
      </c>
      <c r="F120" s="11" t="s">
        <v>1513</v>
      </c>
      <c r="G120" s="24" t="s">
        <v>20</v>
      </c>
      <c r="H120" s="25" t="s">
        <v>75</v>
      </c>
      <c r="I120" s="24" t="s">
        <v>265</v>
      </c>
      <c r="J120" s="12"/>
      <c r="K120" s="34" t="str">
        <f>"185,0"</f>
        <v>185,0</v>
      </c>
      <c r="L120" s="12" t="str">
        <f>"128,0184"</f>
        <v>128,0184</v>
      </c>
      <c r="M120" s="11" t="s">
        <v>264</v>
      </c>
    </row>
    <row r="121" spans="1:13">
      <c r="A121" s="12" t="s">
        <v>167</v>
      </c>
      <c r="B121" s="11" t="s">
        <v>962</v>
      </c>
      <c r="C121" s="11" t="s">
        <v>963</v>
      </c>
      <c r="D121" s="11" t="s">
        <v>638</v>
      </c>
      <c r="E121" s="11" t="s">
        <v>1624</v>
      </c>
      <c r="F121" s="11" t="s">
        <v>1490</v>
      </c>
      <c r="G121" s="25" t="s">
        <v>139</v>
      </c>
      <c r="H121" s="25" t="s">
        <v>75</v>
      </c>
      <c r="I121" s="24" t="s">
        <v>21</v>
      </c>
      <c r="J121" s="12"/>
      <c r="K121" s="34" t="str">
        <f>"185,0"</f>
        <v>185,0</v>
      </c>
      <c r="L121" s="12" t="str">
        <f>"113,2841"</f>
        <v>113,2841</v>
      </c>
      <c r="M121" s="11" t="s">
        <v>264</v>
      </c>
    </row>
    <row r="122" spans="1:13">
      <c r="A122" s="12" t="s">
        <v>165</v>
      </c>
      <c r="B122" s="11" t="s">
        <v>948</v>
      </c>
      <c r="C122" s="11" t="s">
        <v>964</v>
      </c>
      <c r="D122" s="11" t="s">
        <v>950</v>
      </c>
      <c r="E122" s="11" t="s">
        <v>1627</v>
      </c>
      <c r="F122" s="11" t="s">
        <v>1564</v>
      </c>
      <c r="G122" s="24" t="s">
        <v>20</v>
      </c>
      <c r="H122" s="25" t="s">
        <v>20</v>
      </c>
      <c r="I122" s="25" t="s">
        <v>39</v>
      </c>
      <c r="J122" s="12"/>
      <c r="K122" s="34" t="str">
        <f>"187,5"</f>
        <v>187,5</v>
      </c>
      <c r="L122" s="12" t="str">
        <f>"138,0054"</f>
        <v>138,0054</v>
      </c>
      <c r="M122" s="11" t="s">
        <v>951</v>
      </c>
    </row>
    <row r="123" spans="1:13">
      <c r="A123" s="14" t="s">
        <v>165</v>
      </c>
      <c r="B123" s="13" t="s">
        <v>965</v>
      </c>
      <c r="C123" s="13" t="s">
        <v>966</v>
      </c>
      <c r="D123" s="13" t="s">
        <v>967</v>
      </c>
      <c r="E123" s="13" t="s">
        <v>1628</v>
      </c>
      <c r="F123" s="13" t="s">
        <v>1566</v>
      </c>
      <c r="G123" s="27" t="s">
        <v>234</v>
      </c>
      <c r="H123" s="27" t="s">
        <v>266</v>
      </c>
      <c r="I123" s="27" t="s">
        <v>204</v>
      </c>
      <c r="J123" s="14"/>
      <c r="K123" s="32" t="str">
        <f>"137,5"</f>
        <v>137,5</v>
      </c>
      <c r="L123" s="14" t="str">
        <f>"153,5033"</f>
        <v>153,5033</v>
      </c>
      <c r="M123" s="13" t="s">
        <v>264</v>
      </c>
    </row>
    <row r="124" spans="1:13">
      <c r="B124" s="5" t="s">
        <v>166</v>
      </c>
    </row>
    <row r="125" spans="1:13" ht="16">
      <c r="A125" s="48" t="s">
        <v>99</v>
      </c>
      <c r="B125" s="48"/>
      <c r="C125" s="48"/>
      <c r="D125" s="48"/>
      <c r="E125" s="48"/>
      <c r="F125" s="48"/>
      <c r="G125" s="48"/>
      <c r="H125" s="48"/>
      <c r="I125" s="48"/>
      <c r="J125" s="48"/>
    </row>
    <row r="126" spans="1:13">
      <c r="A126" s="10" t="s">
        <v>165</v>
      </c>
      <c r="B126" s="9" t="s">
        <v>968</v>
      </c>
      <c r="C126" s="9" t="s">
        <v>969</v>
      </c>
      <c r="D126" s="9" t="s">
        <v>970</v>
      </c>
      <c r="E126" s="9" t="s">
        <v>1623</v>
      </c>
      <c r="F126" s="9" t="s">
        <v>1521</v>
      </c>
      <c r="G126" s="22" t="s">
        <v>21</v>
      </c>
      <c r="H126" s="22" t="s">
        <v>61</v>
      </c>
      <c r="I126" s="23" t="s">
        <v>51</v>
      </c>
      <c r="J126" s="10"/>
      <c r="K126" s="31" t="str">
        <f>"200,0"</f>
        <v>200,0</v>
      </c>
      <c r="L126" s="10" t="str">
        <f>"118,4600"</f>
        <v>118,4600</v>
      </c>
      <c r="M126" s="9" t="s">
        <v>264</v>
      </c>
    </row>
    <row r="127" spans="1:13">
      <c r="A127" s="12" t="s">
        <v>167</v>
      </c>
      <c r="B127" s="11" t="s">
        <v>971</v>
      </c>
      <c r="C127" s="11" t="s">
        <v>972</v>
      </c>
      <c r="D127" s="11" t="s">
        <v>973</v>
      </c>
      <c r="E127" s="11" t="s">
        <v>1623</v>
      </c>
      <c r="F127" s="11" t="s">
        <v>1490</v>
      </c>
      <c r="G127" s="25" t="s">
        <v>15</v>
      </c>
      <c r="H127" s="25" t="s">
        <v>238</v>
      </c>
      <c r="I127" s="12"/>
      <c r="J127" s="12"/>
      <c r="K127" s="34" t="str">
        <f>"167,5"</f>
        <v>167,5</v>
      </c>
      <c r="L127" s="12" t="str">
        <f>"100,6005"</f>
        <v>100,6005</v>
      </c>
      <c r="M127" s="11" t="s">
        <v>264</v>
      </c>
    </row>
    <row r="128" spans="1:13">
      <c r="A128" s="12" t="s">
        <v>168</v>
      </c>
      <c r="B128" s="11" t="s">
        <v>974</v>
      </c>
      <c r="C128" s="11" t="s">
        <v>975</v>
      </c>
      <c r="D128" s="11" t="s">
        <v>976</v>
      </c>
      <c r="E128" s="11" t="s">
        <v>1623</v>
      </c>
      <c r="F128" s="11" t="s">
        <v>1490</v>
      </c>
      <c r="G128" s="25" t="s">
        <v>29</v>
      </c>
      <c r="H128" s="25" t="s">
        <v>679</v>
      </c>
      <c r="I128" s="25" t="s">
        <v>238</v>
      </c>
      <c r="J128" s="12"/>
      <c r="K128" s="34" t="str">
        <f>"167,5"</f>
        <v>167,5</v>
      </c>
      <c r="L128" s="12" t="str">
        <f>"99,1768"</f>
        <v>99,1768</v>
      </c>
      <c r="M128" s="11" t="s">
        <v>264</v>
      </c>
    </row>
    <row r="129" spans="1:13">
      <c r="A129" s="12" t="s">
        <v>170</v>
      </c>
      <c r="B129" s="11" t="s">
        <v>977</v>
      </c>
      <c r="C129" s="11" t="s">
        <v>978</v>
      </c>
      <c r="D129" s="11" t="s">
        <v>979</v>
      </c>
      <c r="E129" s="11" t="s">
        <v>1623</v>
      </c>
      <c r="F129" s="11" t="s">
        <v>1521</v>
      </c>
      <c r="G129" s="25" t="s">
        <v>29</v>
      </c>
      <c r="H129" s="25" t="s">
        <v>679</v>
      </c>
      <c r="I129" s="24" t="s">
        <v>238</v>
      </c>
      <c r="J129" s="12"/>
      <c r="K129" s="34" t="str">
        <f>"162,5"</f>
        <v>162,5</v>
      </c>
      <c r="L129" s="12" t="str">
        <f>"95,7612"</f>
        <v>95,7612</v>
      </c>
      <c r="M129" s="11" t="s">
        <v>980</v>
      </c>
    </row>
    <row r="130" spans="1:13">
      <c r="A130" s="14" t="s">
        <v>165</v>
      </c>
      <c r="B130" s="13" t="s">
        <v>981</v>
      </c>
      <c r="C130" s="13" t="s">
        <v>982</v>
      </c>
      <c r="D130" s="13" t="s">
        <v>983</v>
      </c>
      <c r="E130" s="13" t="s">
        <v>1627</v>
      </c>
      <c r="F130" s="13" t="s">
        <v>1536</v>
      </c>
      <c r="G130" s="27" t="s">
        <v>54</v>
      </c>
      <c r="H130" s="27" t="s">
        <v>14</v>
      </c>
      <c r="I130" s="26" t="s">
        <v>29</v>
      </c>
      <c r="J130" s="14"/>
      <c r="K130" s="32" t="str">
        <f>"150,0"</f>
        <v>150,0</v>
      </c>
      <c r="L130" s="14" t="str">
        <f>"117,6316"</f>
        <v>117,6316</v>
      </c>
      <c r="M130" s="13" t="s">
        <v>1436</v>
      </c>
    </row>
    <row r="131" spans="1:13">
      <c r="B131" s="5" t="s">
        <v>166</v>
      </c>
    </row>
    <row r="132" spans="1:13" ht="16">
      <c r="A132" s="48" t="s">
        <v>109</v>
      </c>
      <c r="B132" s="48"/>
      <c r="C132" s="48"/>
      <c r="D132" s="48"/>
      <c r="E132" s="48"/>
      <c r="F132" s="48"/>
      <c r="G132" s="48"/>
      <c r="H132" s="48"/>
      <c r="I132" s="48"/>
      <c r="J132" s="48"/>
    </row>
    <row r="133" spans="1:13">
      <c r="A133" s="10" t="s">
        <v>165</v>
      </c>
      <c r="B133" s="9" t="s">
        <v>984</v>
      </c>
      <c r="C133" s="9" t="s">
        <v>985</v>
      </c>
      <c r="D133" s="9" t="s">
        <v>986</v>
      </c>
      <c r="E133" s="9" t="s">
        <v>1623</v>
      </c>
      <c r="F133" s="9" t="s">
        <v>1490</v>
      </c>
      <c r="G133" s="22" t="s">
        <v>39</v>
      </c>
      <c r="H133" s="22" t="s">
        <v>21</v>
      </c>
      <c r="I133" s="22" t="s">
        <v>265</v>
      </c>
      <c r="J133" s="10"/>
      <c r="K133" s="31" t="str">
        <f>"195,0"</f>
        <v>195,0</v>
      </c>
      <c r="L133" s="10" t="str">
        <f>"111,3645"</f>
        <v>111,3645</v>
      </c>
      <c r="M133" s="9" t="s">
        <v>801</v>
      </c>
    </row>
    <row r="134" spans="1:13">
      <c r="A134" s="12" t="s">
        <v>165</v>
      </c>
      <c r="B134" s="11" t="s">
        <v>987</v>
      </c>
      <c r="C134" s="11" t="s">
        <v>988</v>
      </c>
      <c r="D134" s="11" t="s">
        <v>989</v>
      </c>
      <c r="E134" s="11" t="s">
        <v>1624</v>
      </c>
      <c r="F134" s="11" t="s">
        <v>1535</v>
      </c>
      <c r="G134" s="25" t="s">
        <v>19</v>
      </c>
      <c r="H134" s="25" t="s">
        <v>37</v>
      </c>
      <c r="I134" s="24" t="s">
        <v>139</v>
      </c>
      <c r="J134" s="12"/>
      <c r="K134" s="34" t="str">
        <f>"170,0"</f>
        <v>170,0</v>
      </c>
      <c r="L134" s="12" t="str">
        <f>"103,6306"</f>
        <v>103,6306</v>
      </c>
      <c r="M134" s="11" t="s">
        <v>990</v>
      </c>
    </row>
    <row r="135" spans="1:13">
      <c r="A135" s="12" t="s">
        <v>167</v>
      </c>
      <c r="B135" s="11" t="s">
        <v>519</v>
      </c>
      <c r="C135" s="11" t="s">
        <v>523</v>
      </c>
      <c r="D135" s="11" t="s">
        <v>521</v>
      </c>
      <c r="E135" s="11" t="s">
        <v>1624</v>
      </c>
      <c r="F135" s="11" t="s">
        <v>1490</v>
      </c>
      <c r="G135" s="25" t="s">
        <v>54</v>
      </c>
      <c r="H135" s="25" t="s">
        <v>55</v>
      </c>
      <c r="I135" s="25" t="s">
        <v>15</v>
      </c>
      <c r="J135" s="12"/>
      <c r="K135" s="34" t="str">
        <f>"160,0"</f>
        <v>160,0</v>
      </c>
      <c r="L135" s="12" t="str">
        <f>"94,9214"</f>
        <v>94,9214</v>
      </c>
      <c r="M135" s="11" t="s">
        <v>522</v>
      </c>
    </row>
    <row r="136" spans="1:13">
      <c r="A136" s="14" t="s">
        <v>165</v>
      </c>
      <c r="B136" s="13" t="s">
        <v>991</v>
      </c>
      <c r="C136" s="13" t="s">
        <v>992</v>
      </c>
      <c r="D136" s="13" t="s">
        <v>517</v>
      </c>
      <c r="E136" s="13" t="s">
        <v>1629</v>
      </c>
      <c r="F136" s="13" t="s">
        <v>1567</v>
      </c>
      <c r="G136" s="27" t="s">
        <v>266</v>
      </c>
      <c r="H136" s="27" t="s">
        <v>251</v>
      </c>
      <c r="I136" s="27" t="s">
        <v>993</v>
      </c>
      <c r="J136" s="27" t="s">
        <v>216</v>
      </c>
      <c r="K136" s="32" t="str">
        <f>"146,0"</f>
        <v>146,0</v>
      </c>
      <c r="L136" s="14" t="str">
        <f>"123,0955"</f>
        <v>123,0955</v>
      </c>
      <c r="M136" s="13" t="s">
        <v>994</v>
      </c>
    </row>
    <row r="137" spans="1:13">
      <c r="B137" s="5" t="s">
        <v>166</v>
      </c>
    </row>
    <row r="138" spans="1:13" ht="16">
      <c r="A138" s="48" t="s">
        <v>132</v>
      </c>
      <c r="B138" s="48"/>
      <c r="C138" s="48"/>
      <c r="D138" s="48"/>
      <c r="E138" s="48"/>
      <c r="F138" s="48"/>
      <c r="G138" s="48"/>
      <c r="H138" s="48"/>
      <c r="I138" s="48"/>
      <c r="J138" s="48"/>
    </row>
    <row r="139" spans="1:13">
      <c r="A139" s="10" t="s">
        <v>165</v>
      </c>
      <c r="B139" s="9" t="s">
        <v>995</v>
      </c>
      <c r="C139" s="9" t="s">
        <v>996</v>
      </c>
      <c r="D139" s="9" t="s">
        <v>997</v>
      </c>
      <c r="E139" s="9" t="s">
        <v>1623</v>
      </c>
      <c r="F139" s="9" t="s">
        <v>1608</v>
      </c>
      <c r="G139" s="22" t="s">
        <v>21</v>
      </c>
      <c r="H139" s="22" t="s">
        <v>61</v>
      </c>
      <c r="I139" s="23" t="s">
        <v>127</v>
      </c>
      <c r="J139" s="10"/>
      <c r="K139" s="31" t="str">
        <f>"200,0"</f>
        <v>200,0</v>
      </c>
      <c r="L139" s="10" t="str">
        <f>"112,8200"</f>
        <v>112,8200</v>
      </c>
      <c r="M139" s="9" t="s">
        <v>998</v>
      </c>
    </row>
    <row r="140" spans="1:13">
      <c r="A140" s="12" t="s">
        <v>167</v>
      </c>
      <c r="B140" s="11" t="s">
        <v>999</v>
      </c>
      <c r="C140" s="11" t="s">
        <v>1000</v>
      </c>
      <c r="D140" s="11" t="s">
        <v>1001</v>
      </c>
      <c r="E140" s="11" t="s">
        <v>1623</v>
      </c>
      <c r="F140" s="11" t="s">
        <v>1613</v>
      </c>
      <c r="G140" s="25" t="s">
        <v>114</v>
      </c>
      <c r="H140" s="24" t="s">
        <v>115</v>
      </c>
      <c r="I140" s="24" t="s">
        <v>115</v>
      </c>
      <c r="J140" s="12"/>
      <c r="K140" s="34" t="str">
        <f>"192,5"</f>
        <v>192,5</v>
      </c>
      <c r="L140" s="12" t="str">
        <f>"109,4362"</f>
        <v>109,4362</v>
      </c>
      <c r="M140" s="11" t="s">
        <v>264</v>
      </c>
    </row>
    <row r="141" spans="1:13">
      <c r="A141" s="14" t="s">
        <v>165</v>
      </c>
      <c r="B141" s="13" t="s">
        <v>1002</v>
      </c>
      <c r="C141" s="13" t="s">
        <v>1003</v>
      </c>
      <c r="D141" s="13" t="s">
        <v>1004</v>
      </c>
      <c r="E141" s="13" t="s">
        <v>1627</v>
      </c>
      <c r="F141" s="13" t="s">
        <v>1490</v>
      </c>
      <c r="G141" s="27" t="s">
        <v>46</v>
      </c>
      <c r="H141" s="27" t="s">
        <v>74</v>
      </c>
      <c r="I141" s="26" t="s">
        <v>38</v>
      </c>
      <c r="J141" s="14"/>
      <c r="K141" s="32" t="str">
        <f>"177,5"</f>
        <v>177,5</v>
      </c>
      <c r="L141" s="14" t="str">
        <f>"129,4743"</f>
        <v>129,4743</v>
      </c>
      <c r="M141" s="13" t="s">
        <v>264</v>
      </c>
    </row>
    <row r="142" spans="1:13">
      <c r="B142" s="5" t="s">
        <v>166</v>
      </c>
    </row>
    <row r="143" spans="1:13">
      <c r="B143" s="5" t="s">
        <v>166</v>
      </c>
    </row>
    <row r="145" spans="2:6" ht="18">
      <c r="B145" s="15" t="s">
        <v>141</v>
      </c>
      <c r="C145" s="15"/>
    </row>
    <row r="146" spans="2:6" ht="16">
      <c r="B146" s="16" t="s">
        <v>142</v>
      </c>
      <c r="C146" s="16"/>
    </row>
    <row r="147" spans="2:6" ht="14">
      <c r="B147" s="17"/>
      <c r="C147" s="18" t="s">
        <v>143</v>
      </c>
    </row>
    <row r="148" spans="2:6" ht="14">
      <c r="B148" s="19" t="s">
        <v>144</v>
      </c>
      <c r="C148" s="19" t="s">
        <v>145</v>
      </c>
      <c r="D148" s="19" t="s">
        <v>1430</v>
      </c>
      <c r="E148" s="19" t="s">
        <v>582</v>
      </c>
      <c r="F148" s="19" t="s">
        <v>148</v>
      </c>
    </row>
    <row r="149" spans="2:6">
      <c r="B149" s="5" t="s">
        <v>744</v>
      </c>
      <c r="C149" s="5" t="s">
        <v>143</v>
      </c>
      <c r="D149" s="6" t="s">
        <v>243</v>
      </c>
      <c r="E149" s="6" t="s">
        <v>367</v>
      </c>
      <c r="F149" s="6" t="s">
        <v>1005</v>
      </c>
    </row>
    <row r="150" spans="2:6">
      <c r="B150" s="5" t="s">
        <v>722</v>
      </c>
      <c r="C150" s="5" t="s">
        <v>143</v>
      </c>
      <c r="D150" s="6" t="s">
        <v>240</v>
      </c>
      <c r="E150" s="6" t="s">
        <v>724</v>
      </c>
      <c r="F150" s="6" t="s">
        <v>1006</v>
      </c>
    </row>
    <row r="151" spans="2:6">
      <c r="B151" s="5" t="s">
        <v>726</v>
      </c>
      <c r="C151" s="5" t="s">
        <v>143</v>
      </c>
      <c r="D151" s="6" t="s">
        <v>240</v>
      </c>
      <c r="E151" s="6" t="s">
        <v>372</v>
      </c>
      <c r="F151" s="6" t="s">
        <v>1007</v>
      </c>
    </row>
    <row r="153" spans="2:6" ht="16">
      <c r="B153" s="16" t="s">
        <v>150</v>
      </c>
      <c r="C153" s="16"/>
    </row>
    <row r="154" spans="2:6" ht="14">
      <c r="B154" s="17"/>
      <c r="C154" s="18" t="s">
        <v>241</v>
      </c>
    </row>
    <row r="155" spans="2:6" ht="14">
      <c r="B155" s="19" t="s">
        <v>144</v>
      </c>
      <c r="C155" s="19" t="s">
        <v>145</v>
      </c>
      <c r="D155" s="19" t="s">
        <v>1430</v>
      </c>
      <c r="E155" s="19" t="s">
        <v>582</v>
      </c>
      <c r="F155" s="19" t="s">
        <v>148</v>
      </c>
    </row>
    <row r="156" spans="2:6">
      <c r="B156" s="5" t="s">
        <v>774</v>
      </c>
      <c r="C156" s="5" t="s">
        <v>527</v>
      </c>
      <c r="D156" s="6" t="s">
        <v>243</v>
      </c>
      <c r="E156" s="6" t="s">
        <v>200</v>
      </c>
      <c r="F156" s="6" t="s">
        <v>1008</v>
      </c>
    </row>
    <row r="157" spans="2:6">
      <c r="B157" s="5" t="s">
        <v>780</v>
      </c>
      <c r="C157" s="5" t="s">
        <v>242</v>
      </c>
      <c r="D157" s="6" t="s">
        <v>243</v>
      </c>
      <c r="E157" s="6" t="s">
        <v>367</v>
      </c>
      <c r="F157" s="6" t="s">
        <v>1009</v>
      </c>
    </row>
    <row r="158" spans="2:6">
      <c r="B158" s="5" t="s">
        <v>845</v>
      </c>
      <c r="C158" s="5" t="s">
        <v>242</v>
      </c>
      <c r="D158" s="6" t="s">
        <v>149</v>
      </c>
      <c r="E158" s="6" t="s">
        <v>98</v>
      </c>
      <c r="F158" s="6" t="s">
        <v>1010</v>
      </c>
    </row>
    <row r="160" spans="2:6" ht="14">
      <c r="B160" s="17"/>
      <c r="C160" s="18" t="s">
        <v>151</v>
      </c>
    </row>
    <row r="161" spans="2:6" ht="14">
      <c r="B161" s="19" t="s">
        <v>144</v>
      </c>
      <c r="C161" s="19" t="s">
        <v>145</v>
      </c>
      <c r="D161" s="19" t="s">
        <v>1430</v>
      </c>
      <c r="E161" s="19" t="s">
        <v>582</v>
      </c>
      <c r="F161" s="19" t="s">
        <v>148</v>
      </c>
    </row>
    <row r="162" spans="2:6">
      <c r="B162" s="5" t="s">
        <v>881</v>
      </c>
      <c r="C162" s="5" t="s">
        <v>151</v>
      </c>
      <c r="D162" s="6" t="s">
        <v>244</v>
      </c>
      <c r="E162" s="6" t="s">
        <v>37</v>
      </c>
      <c r="F162" s="6" t="s">
        <v>1011</v>
      </c>
    </row>
    <row r="163" spans="2:6">
      <c r="B163" s="5" t="s">
        <v>883</v>
      </c>
      <c r="C163" s="5" t="s">
        <v>151</v>
      </c>
      <c r="D163" s="6" t="s">
        <v>244</v>
      </c>
      <c r="E163" s="6" t="s">
        <v>15</v>
      </c>
      <c r="F163" s="6" t="s">
        <v>1012</v>
      </c>
    </row>
    <row r="164" spans="2:6">
      <c r="B164" s="5" t="s">
        <v>939</v>
      </c>
      <c r="C164" s="5" t="s">
        <v>151</v>
      </c>
      <c r="D164" s="6" t="s">
        <v>163</v>
      </c>
      <c r="E164" s="6" t="s">
        <v>253</v>
      </c>
      <c r="F164" s="6" t="s">
        <v>1013</v>
      </c>
    </row>
    <row r="166" spans="2:6" ht="14">
      <c r="B166" s="17"/>
      <c r="C166" s="18" t="s">
        <v>143</v>
      </c>
    </row>
    <row r="167" spans="2:6" ht="14">
      <c r="B167" s="19" t="s">
        <v>144</v>
      </c>
      <c r="C167" s="19" t="s">
        <v>145</v>
      </c>
      <c r="D167" s="19" t="s">
        <v>1430</v>
      </c>
      <c r="E167" s="19" t="s">
        <v>582</v>
      </c>
      <c r="F167" s="19" t="s">
        <v>148</v>
      </c>
    </row>
    <row r="168" spans="2:6">
      <c r="B168" s="5" t="s">
        <v>896</v>
      </c>
      <c r="C168" s="5" t="s">
        <v>143</v>
      </c>
      <c r="D168" s="6" t="s">
        <v>244</v>
      </c>
      <c r="E168" s="6" t="s">
        <v>115</v>
      </c>
      <c r="F168" s="6" t="s">
        <v>1014</v>
      </c>
    </row>
    <row r="169" spans="2:6">
      <c r="B169" s="5" t="s">
        <v>899</v>
      </c>
      <c r="C169" s="5" t="s">
        <v>143</v>
      </c>
      <c r="D169" s="6" t="s">
        <v>244</v>
      </c>
      <c r="E169" s="6" t="s">
        <v>115</v>
      </c>
      <c r="F169" s="6" t="s">
        <v>1015</v>
      </c>
    </row>
    <row r="170" spans="2:6">
      <c r="B170" s="5" t="s">
        <v>944</v>
      </c>
      <c r="C170" s="5" t="s">
        <v>143</v>
      </c>
      <c r="D170" s="6" t="s">
        <v>163</v>
      </c>
      <c r="E170" s="6" t="s">
        <v>69</v>
      </c>
      <c r="F170" s="6" t="s">
        <v>1016</v>
      </c>
    </row>
    <row r="172" spans="2:6" ht="14">
      <c r="B172" s="17"/>
      <c r="C172" s="18" t="s">
        <v>161</v>
      </c>
    </row>
    <row r="173" spans="2:6" ht="14">
      <c r="B173" s="19" t="s">
        <v>144</v>
      </c>
      <c r="C173" s="19" t="s">
        <v>145</v>
      </c>
      <c r="D173" s="19" t="s">
        <v>1430</v>
      </c>
      <c r="E173" s="19" t="s">
        <v>582</v>
      </c>
      <c r="F173" s="19" t="s">
        <v>148</v>
      </c>
    </row>
    <row r="174" spans="2:6">
      <c r="B174" s="5" t="s">
        <v>965</v>
      </c>
      <c r="C174" s="5" t="s">
        <v>162</v>
      </c>
      <c r="D174" s="6" t="s">
        <v>163</v>
      </c>
      <c r="E174" s="6" t="s">
        <v>204</v>
      </c>
      <c r="F174" s="6" t="s">
        <v>1017</v>
      </c>
    </row>
    <row r="175" spans="2:6">
      <c r="B175" s="5" t="s">
        <v>948</v>
      </c>
      <c r="C175" s="5" t="s">
        <v>245</v>
      </c>
      <c r="D175" s="6" t="s">
        <v>163</v>
      </c>
      <c r="E175" s="6" t="s">
        <v>39</v>
      </c>
      <c r="F175" s="6" t="s">
        <v>1018</v>
      </c>
    </row>
    <row r="176" spans="2:6">
      <c r="B176" s="5" t="s">
        <v>933</v>
      </c>
      <c r="C176" s="5" t="s">
        <v>162</v>
      </c>
      <c r="D176" s="6" t="s">
        <v>244</v>
      </c>
      <c r="E176" s="6" t="s">
        <v>229</v>
      </c>
      <c r="F176" s="6" t="s">
        <v>1019</v>
      </c>
    </row>
    <row r="177" spans="2:2">
      <c r="B177" s="5" t="s">
        <v>166</v>
      </c>
    </row>
  </sheetData>
  <mergeCells count="27">
    <mergeCell ref="A125:J125"/>
    <mergeCell ref="A132:J132"/>
    <mergeCell ref="A138:J138"/>
    <mergeCell ref="B3:B4"/>
    <mergeCell ref="A37:J37"/>
    <mergeCell ref="A40:J40"/>
    <mergeCell ref="A55:J55"/>
    <mergeCell ref="A69:J69"/>
    <mergeCell ref="A83:J83"/>
    <mergeCell ref="A110:J110"/>
    <mergeCell ref="A8:J8"/>
    <mergeCell ref="A11:J11"/>
    <mergeCell ref="A17:J17"/>
    <mergeCell ref="A22:J22"/>
    <mergeCell ref="A30:J30"/>
    <mergeCell ref="A34:J3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WEPF ПЛ однослой ДК</vt:lpstr>
      <vt:lpstr>WEPF ПЛ однослой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однослой ДК</vt:lpstr>
      <vt:lpstr>WEPF Жим софт однопетельная ДК</vt:lpstr>
      <vt:lpstr>WEPF Жим софт однопетельная</vt:lpstr>
      <vt:lpstr>WEPF Жим софт многопетельнаяДК</vt:lpstr>
      <vt:lpstr>WEPF Жим софт многопетельная</vt:lpstr>
      <vt:lpstr>WRPF Жим СФО</vt:lpstr>
      <vt:lpstr>WRPF Тяга без экипировки ДК</vt:lpstr>
      <vt:lpstr>WRPF Тяга без экипировки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2021-05-14T20:28:00Z</dcterms:modified>
</cp:coreProperties>
</file>