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A44F503E-78A3-D240-8C9C-9544CC2685FE}" xr6:coauthVersionLast="45" xr6:coauthVersionMax="45" xr10:uidLastSave="{00000000-0000-0000-0000-000000000000}"/>
  <bookViews>
    <workbookView xWindow="480" yWindow="460" windowWidth="27640" windowHeight="15620" tabRatio="848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Двоеборье без экип ДК" sheetId="15" r:id="rId5"/>
    <sheet name="GPA Двоеборье без экип" sheetId="14" r:id="rId6"/>
    <sheet name="GPA Присед без экипировки ДК" sheetId="16" r:id="rId7"/>
    <sheet name="GPA Присед в бинтах ДК" sheetId="17" r:id="rId8"/>
    <sheet name="GPA Жим без экипировки ДК" sheetId="11" r:id="rId9"/>
    <sheet name="GPA Жим без экипировки" sheetId="10" r:id="rId10"/>
    <sheet name="СПР Жим софт однопетельная ДК" sheetId="19" r:id="rId11"/>
    <sheet name="СПР Жим софт однопетельная" sheetId="18" r:id="rId12"/>
    <sheet name="СПР Жим софт многопетельная ДК" sheetId="21" r:id="rId13"/>
    <sheet name="СПР Жим софт многопетельная" sheetId="20" r:id="rId14"/>
    <sheet name="GPA Тяга без экипировки ДК" sheetId="13" r:id="rId15"/>
    <sheet name="GPA Тяга без экипировки" sheetId="12" r:id="rId16"/>
    <sheet name="СПР Жим СФО" sheetId="45" r:id="rId17"/>
    <sheet name="СПР Пауэрспорт ДК" sheetId="35" r:id="rId18"/>
    <sheet name="СПР Жим стоя ДК" sheetId="33" r:id="rId19"/>
    <sheet name="СПР Подъем на бицепс ДК" sheetId="34" r:id="rId20"/>
    <sheet name="ФЖД Двоеборье любители ДК" sheetId="36" r:id="rId21"/>
  </sheets>
  <definedNames>
    <definedName name="_FilterDatabase" localSheetId="1" hidden="1">'GPA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45" l="1"/>
  <c r="K9" i="45"/>
  <c r="L6" i="45"/>
  <c r="K6" i="45"/>
  <c r="N9" i="36"/>
  <c r="M9" i="36"/>
  <c r="N6" i="36"/>
  <c r="M6" i="36"/>
  <c r="P17" i="35"/>
  <c r="O17" i="35"/>
  <c r="P14" i="35"/>
  <c r="O14" i="35"/>
  <c r="P11" i="35"/>
  <c r="O11" i="35"/>
  <c r="P10" i="35"/>
  <c r="O10" i="35"/>
  <c r="P9" i="35"/>
  <c r="O9" i="35"/>
  <c r="P6" i="35"/>
  <c r="O6" i="35"/>
  <c r="L26" i="34"/>
  <c r="K26" i="34"/>
  <c r="L23" i="34"/>
  <c r="K23" i="34"/>
  <c r="L20" i="34"/>
  <c r="K20" i="34"/>
  <c r="L19" i="34"/>
  <c r="K19" i="34"/>
  <c r="L18" i="34"/>
  <c r="K18" i="34"/>
  <c r="L17" i="34"/>
  <c r="K17" i="34"/>
  <c r="L16" i="34"/>
  <c r="K16" i="34"/>
  <c r="L13" i="34"/>
  <c r="K13" i="34"/>
  <c r="L12" i="34"/>
  <c r="K12" i="34"/>
  <c r="L9" i="34"/>
  <c r="K9" i="34"/>
  <c r="L6" i="34"/>
  <c r="K6" i="34"/>
  <c r="L6" i="33"/>
  <c r="K6" i="33"/>
  <c r="L6" i="21"/>
  <c r="K6" i="21"/>
  <c r="L9" i="20"/>
  <c r="K9" i="20"/>
  <c r="L6" i="20"/>
  <c r="K6" i="20"/>
  <c r="L10" i="19"/>
  <c r="L9" i="19"/>
  <c r="K9" i="19"/>
  <c r="L6" i="19"/>
  <c r="K6" i="19"/>
  <c r="L9" i="18"/>
  <c r="K9" i="18"/>
  <c r="L6" i="18"/>
  <c r="K6" i="18"/>
  <c r="L6" i="17"/>
  <c r="L12" i="16"/>
  <c r="K12" i="16"/>
  <c r="L9" i="16"/>
  <c r="K9" i="16"/>
  <c r="L6" i="16"/>
  <c r="K6" i="16"/>
  <c r="P19" i="15"/>
  <c r="O19" i="15"/>
  <c r="P18" i="15"/>
  <c r="O18" i="15"/>
  <c r="P15" i="15"/>
  <c r="O15" i="15"/>
  <c r="P12" i="15"/>
  <c r="O12" i="15"/>
  <c r="P9" i="15"/>
  <c r="O9" i="15"/>
  <c r="P6" i="15"/>
  <c r="O6" i="15"/>
  <c r="P7" i="14"/>
  <c r="O7" i="14"/>
  <c r="P6" i="14"/>
  <c r="O6" i="14"/>
  <c r="L24" i="13"/>
  <c r="K24" i="13"/>
  <c r="L21" i="13"/>
  <c r="K21" i="13"/>
  <c r="L18" i="13"/>
  <c r="K18" i="13"/>
  <c r="L17" i="13"/>
  <c r="K17" i="13"/>
  <c r="L16" i="13"/>
  <c r="K16" i="13"/>
  <c r="L13" i="13"/>
  <c r="K13" i="13"/>
  <c r="L10" i="13"/>
  <c r="K10" i="13"/>
  <c r="L7" i="13"/>
  <c r="K7" i="13"/>
  <c r="L6" i="13"/>
  <c r="K6" i="13"/>
  <c r="L10" i="12"/>
  <c r="K10" i="12"/>
  <c r="L7" i="12"/>
  <c r="L6" i="12"/>
  <c r="K6" i="12"/>
  <c r="L75" i="11"/>
  <c r="K75" i="11"/>
  <c r="L72" i="11"/>
  <c r="K72" i="11"/>
  <c r="L71" i="11"/>
  <c r="K71" i="11"/>
  <c r="L70" i="11"/>
  <c r="K70" i="11"/>
  <c r="L69" i="11"/>
  <c r="K69" i="11"/>
  <c r="L68" i="11"/>
  <c r="K68" i="11"/>
  <c r="L67" i="11"/>
  <c r="K67" i="11"/>
  <c r="L66" i="11"/>
  <c r="K66" i="11"/>
  <c r="L65" i="11"/>
  <c r="K65" i="11"/>
  <c r="L64" i="11"/>
  <c r="K64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4" i="11"/>
  <c r="K54" i="11"/>
  <c r="L53" i="11"/>
  <c r="K53" i="11"/>
  <c r="L52" i="11"/>
  <c r="K52" i="11"/>
  <c r="L49" i="11"/>
  <c r="K49" i="11"/>
  <c r="L48" i="11"/>
  <c r="K48" i="11"/>
  <c r="L47" i="11"/>
  <c r="K47" i="11"/>
  <c r="L46" i="11"/>
  <c r="K46" i="11"/>
  <c r="L45" i="11"/>
  <c r="K45" i="11"/>
  <c r="L42" i="11"/>
  <c r="K42" i="11"/>
  <c r="L41" i="11"/>
  <c r="K41" i="11"/>
  <c r="L40" i="11"/>
  <c r="K40" i="11"/>
  <c r="L39" i="11"/>
  <c r="K39" i="11"/>
  <c r="L38" i="11"/>
  <c r="K38" i="11"/>
  <c r="L35" i="11"/>
  <c r="K35" i="11"/>
  <c r="L34" i="11"/>
  <c r="K34" i="11"/>
  <c r="L33" i="11"/>
  <c r="K33" i="11"/>
  <c r="L30" i="11"/>
  <c r="K30" i="11"/>
  <c r="L27" i="11"/>
  <c r="K27" i="11"/>
  <c r="L24" i="11"/>
  <c r="K24" i="11"/>
  <c r="L21" i="11"/>
  <c r="K21" i="11"/>
  <c r="L20" i="11"/>
  <c r="K20" i="11"/>
  <c r="L17" i="11"/>
  <c r="K17" i="11"/>
  <c r="L16" i="11"/>
  <c r="K16" i="11"/>
  <c r="L15" i="11"/>
  <c r="K15" i="11"/>
  <c r="L12" i="11"/>
  <c r="L11" i="11"/>
  <c r="K11" i="11"/>
  <c r="L10" i="11"/>
  <c r="K10" i="11"/>
  <c r="L9" i="11"/>
  <c r="K9" i="11"/>
  <c r="L6" i="11"/>
  <c r="K6" i="11"/>
  <c r="L34" i="10"/>
  <c r="K34" i="10"/>
  <c r="L33" i="10"/>
  <c r="K33" i="10"/>
  <c r="L30" i="10"/>
  <c r="K30" i="10"/>
  <c r="L27" i="10"/>
  <c r="K27" i="10"/>
  <c r="L26" i="10"/>
  <c r="K26" i="10"/>
  <c r="L25" i="10"/>
  <c r="K25" i="10"/>
  <c r="L22" i="10"/>
  <c r="K22" i="10"/>
  <c r="L21" i="10"/>
  <c r="K21" i="10"/>
  <c r="L18" i="10"/>
  <c r="K18" i="10"/>
  <c r="L17" i="10"/>
  <c r="K17" i="10"/>
  <c r="L16" i="10"/>
  <c r="K16" i="10"/>
  <c r="L13" i="10"/>
  <c r="K13" i="10"/>
  <c r="L12" i="10"/>
  <c r="K12" i="10"/>
  <c r="L9" i="10"/>
  <c r="K9" i="10"/>
  <c r="L6" i="10"/>
  <c r="K6" i="10"/>
  <c r="T25" i="8"/>
  <c r="S25" i="8"/>
  <c r="T22" i="8"/>
  <c r="S22" i="8"/>
  <c r="T19" i="8"/>
  <c r="S19" i="8"/>
  <c r="T18" i="8"/>
  <c r="S18" i="8"/>
  <c r="T15" i="8"/>
  <c r="S15" i="8"/>
  <c r="T12" i="8"/>
  <c r="S12" i="8"/>
  <c r="T9" i="8"/>
  <c r="S9" i="8"/>
  <c r="T6" i="8"/>
  <c r="S6" i="8"/>
  <c r="T10" i="7"/>
  <c r="S10" i="7"/>
  <c r="T7" i="7"/>
  <c r="T6" i="7"/>
  <c r="S6" i="7"/>
  <c r="T52" i="6"/>
  <c r="S52" i="6"/>
  <c r="T49" i="6"/>
  <c r="S49" i="6"/>
  <c r="T48" i="6"/>
  <c r="S48" i="6"/>
  <c r="T45" i="6"/>
  <c r="S45" i="6"/>
  <c r="T44" i="6"/>
  <c r="S44" i="6"/>
  <c r="T43" i="6"/>
  <c r="S43" i="6"/>
  <c r="T42" i="6"/>
  <c r="S42" i="6"/>
  <c r="T39" i="6"/>
  <c r="S39" i="6"/>
  <c r="T38" i="6"/>
  <c r="S38" i="6"/>
  <c r="T35" i="6"/>
  <c r="S35" i="6"/>
  <c r="T34" i="6"/>
  <c r="S34" i="6"/>
  <c r="T33" i="6"/>
  <c r="T30" i="6"/>
  <c r="S30" i="6"/>
  <c r="T27" i="6"/>
  <c r="S27" i="6"/>
  <c r="T26" i="6"/>
  <c r="S26" i="6"/>
  <c r="T25" i="6"/>
  <c r="S25" i="6"/>
  <c r="T22" i="6"/>
  <c r="S22" i="6"/>
  <c r="T19" i="6"/>
  <c r="S19" i="6"/>
  <c r="T16" i="6"/>
  <c r="S16" i="6"/>
  <c r="T15" i="6"/>
  <c r="S15" i="6"/>
  <c r="T12" i="6"/>
  <c r="T11" i="6"/>
  <c r="S11" i="6"/>
  <c r="T10" i="6"/>
  <c r="S10" i="6"/>
  <c r="T9" i="6"/>
  <c r="S9" i="6"/>
  <c r="T6" i="6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<sst xmlns="http://schemas.openxmlformats.org/spreadsheetml/2006/main" count="2339" uniqueCount="641">
  <si>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</si>
  <si>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</si>
  <si>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</si>
  <si>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</si>
  <si>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</si>
  <si>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</si>
  <si>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</si>
  <si>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</si>
  <si>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</si>
  <si>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</si>
  <si>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</si>
  <si>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</si>
  <si>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</si>
  <si>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Зыкова Валентина</t>
  </si>
  <si>
    <t>Открытая (13.12.1985)/35</t>
  </si>
  <si>
    <t>65,50</t>
  </si>
  <si>
    <t xml:space="preserve">Вологда/Вологодская область </t>
  </si>
  <si>
    <t>120,0</t>
  </si>
  <si>
    <t>130,0</t>
  </si>
  <si>
    <t>140,0</t>
  </si>
  <si>
    <t>80,0</t>
  </si>
  <si>
    <t>90,0</t>
  </si>
  <si>
    <t>100,0</t>
  </si>
  <si>
    <t>150,0</t>
  </si>
  <si>
    <t>160,0</t>
  </si>
  <si>
    <t>170,0</t>
  </si>
  <si>
    <t>ВЕСОВАЯ КАТЕГОРИЯ   100</t>
  </si>
  <si>
    <t>Кулигин Георгий</t>
  </si>
  <si>
    <t>Открытая (15.12.1992)/28</t>
  </si>
  <si>
    <t>98,40</t>
  </si>
  <si>
    <t>132,5</t>
  </si>
  <si>
    <t>110,0</t>
  </si>
  <si>
    <t>145,0</t>
  </si>
  <si>
    <t>180,0</t>
  </si>
  <si>
    <t>200,0</t>
  </si>
  <si>
    <t>ВЕСОВАЯ КАТЕГОРИЯ   110</t>
  </si>
  <si>
    <t>Марков Артем</t>
  </si>
  <si>
    <t>Открытая (03.08.1986)/34</t>
  </si>
  <si>
    <t>104,50</t>
  </si>
  <si>
    <t xml:space="preserve">Великий Устюг/Вологодская область </t>
  </si>
  <si>
    <t>220,0</t>
  </si>
  <si>
    <t>240,0</t>
  </si>
  <si>
    <t>260,0</t>
  </si>
  <si>
    <t>210,0</t>
  </si>
  <si>
    <t>217,5</t>
  </si>
  <si>
    <t>270,0</t>
  </si>
  <si>
    <t>290,0</t>
  </si>
  <si>
    <t>300,0</t>
  </si>
  <si>
    <t xml:space="preserve">Рассохин А. </t>
  </si>
  <si>
    <t>ВЕСОВАЯ КАТЕГОРИЯ   140</t>
  </si>
  <si>
    <t>Новиков Александр</t>
  </si>
  <si>
    <t>Открытая (18.04.1990)/31</t>
  </si>
  <si>
    <t>126,40</t>
  </si>
  <si>
    <t xml:space="preserve">Архангельск/Архангельская область </t>
  </si>
  <si>
    <t>230,0</t>
  </si>
  <si>
    <t>250,0</t>
  </si>
  <si>
    <t>190,0</t>
  </si>
  <si>
    <t>195,0</t>
  </si>
  <si>
    <t>310,0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</si>
  <si>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</si>
  <si>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</si>
  <si>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</si>
  <si>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</si>
  <si>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</si>
  <si>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</si>
  <si>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</si>
  <si>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</si>
  <si>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>67.5</t>
  </si>
  <si>
    <t xml:space="preserve">Мужчины </t>
  </si>
  <si>
    <t>110</t>
  </si>
  <si>
    <t>140</t>
  </si>
  <si>
    <t>100</t>
  </si>
  <si>
    <t>1</t>
  </si>
  <si>
    <t/>
  </si>
  <si>
    <t>ВЕСОВАЯ КАТЕГОРИЯ   48</t>
  </si>
  <si>
    <t>Швец Елена</t>
  </si>
  <si>
    <t>Открытая (30.09.1992)/28</t>
  </si>
  <si>
    <t>47,70</t>
  </si>
  <si>
    <t>72,5</t>
  </si>
  <si>
    <t>75,0</t>
  </si>
  <si>
    <t>77,5</t>
  </si>
  <si>
    <t>55,0</t>
  </si>
  <si>
    <t>95,0</t>
  </si>
  <si>
    <t xml:space="preserve">Балашов Н. </t>
  </si>
  <si>
    <t>ВЕСОВАЯ КАТЕГОРИЯ   52</t>
  </si>
  <si>
    <t>Кулакова Нина</t>
  </si>
  <si>
    <t>51,00</t>
  </si>
  <si>
    <t>82,5</t>
  </si>
  <si>
    <t>85,0</t>
  </si>
  <si>
    <t>50,0</t>
  </si>
  <si>
    <t>60,0</t>
  </si>
  <si>
    <t>92,5</t>
  </si>
  <si>
    <t>Афоничева Виктория</t>
  </si>
  <si>
    <t>Открытая (10.03.1994)/27</t>
  </si>
  <si>
    <t>51,90</t>
  </si>
  <si>
    <t>97,5</t>
  </si>
  <si>
    <t>65,0</t>
  </si>
  <si>
    <t>67,5</t>
  </si>
  <si>
    <t>117,5</t>
  </si>
  <si>
    <t>Карпулина Наталия</t>
  </si>
  <si>
    <t>Открытая (22.07.1979)/41</t>
  </si>
  <si>
    <t>51,10</t>
  </si>
  <si>
    <t>87,5</t>
  </si>
  <si>
    <t>47,5</t>
  </si>
  <si>
    <t>52,5</t>
  </si>
  <si>
    <t>105,0</t>
  </si>
  <si>
    <t>Мякишева Мария</t>
  </si>
  <si>
    <t>Открытая (10.12.1990)/30</t>
  </si>
  <si>
    <t xml:space="preserve">Макрашов В. </t>
  </si>
  <si>
    <t>ВЕСОВАЯ КАТЕГОРИЯ   56</t>
  </si>
  <si>
    <t>Проскурякова Анастасия</t>
  </si>
  <si>
    <t>54,70</t>
  </si>
  <si>
    <t xml:space="preserve">Няндома/Архангельская область </t>
  </si>
  <si>
    <t>112,5</t>
  </si>
  <si>
    <t>115,0</t>
  </si>
  <si>
    <t>62,5</t>
  </si>
  <si>
    <t>70,0</t>
  </si>
  <si>
    <t>157,5</t>
  </si>
  <si>
    <t>162,5</t>
  </si>
  <si>
    <t>Открытая (04.02.2000)/21</t>
  </si>
  <si>
    <t>ВЕСОВАЯ КАТЕГОРИЯ   60</t>
  </si>
  <si>
    <t>Пахнева Люда</t>
  </si>
  <si>
    <t>Открытая (27.08.1983)/37</t>
  </si>
  <si>
    <t>59,10</t>
  </si>
  <si>
    <t>45,0</t>
  </si>
  <si>
    <t>ВЕСОВАЯ КАТЕГОРИЯ   90</t>
  </si>
  <si>
    <t>Плакан Светлана</t>
  </si>
  <si>
    <t>Открытая (12.05.1983)/38</t>
  </si>
  <si>
    <t>88,20</t>
  </si>
  <si>
    <t xml:space="preserve">Вельск/Архангельская область </t>
  </si>
  <si>
    <t>122,5</t>
  </si>
  <si>
    <t>135,0</t>
  </si>
  <si>
    <t>152,5</t>
  </si>
  <si>
    <t>Малышев Алексей</t>
  </si>
  <si>
    <t>Открытая (30.07.2004)/16</t>
  </si>
  <si>
    <t>57,10</t>
  </si>
  <si>
    <t xml:space="preserve">Тотьма/Вологодская область </t>
  </si>
  <si>
    <t>147,5</t>
  </si>
  <si>
    <t>155,0</t>
  </si>
  <si>
    <t>175,0</t>
  </si>
  <si>
    <t>185,0</t>
  </si>
  <si>
    <t>Двойников Олег</t>
  </si>
  <si>
    <t>Открытая (08.10.1960)/60</t>
  </si>
  <si>
    <t>59,90</t>
  </si>
  <si>
    <t>165,0</t>
  </si>
  <si>
    <t>Мастера 60-69 (08.10.1960)/60</t>
  </si>
  <si>
    <t>Минкин Александр</t>
  </si>
  <si>
    <t>Открытая (15.07.1995)/25</t>
  </si>
  <si>
    <t>67,20</t>
  </si>
  <si>
    <t xml:space="preserve">Якушевич А. </t>
  </si>
  <si>
    <t>ВЕСОВАЯ КАТЕГОРИЯ   75</t>
  </si>
  <si>
    <t>Сивкин Владимир</t>
  </si>
  <si>
    <t>71,70</t>
  </si>
  <si>
    <t xml:space="preserve">Череповец/Вологодская область </t>
  </si>
  <si>
    <t>Шубник Андрей</t>
  </si>
  <si>
    <t>Открытая (03.09.1988)/32</t>
  </si>
  <si>
    <t>74,20</t>
  </si>
  <si>
    <t>Киричатый Владимир</t>
  </si>
  <si>
    <t>Мастера 50-59 (27.03.1968)/53</t>
  </si>
  <si>
    <t>74,70</t>
  </si>
  <si>
    <t>ВЕСОВАЯ КАТЕГОРИЯ   82.5</t>
  </si>
  <si>
    <t>Шишкин Даниил</t>
  </si>
  <si>
    <t>81,70</t>
  </si>
  <si>
    <t>215,0</t>
  </si>
  <si>
    <t>225,0</t>
  </si>
  <si>
    <t>Марков Евгений</t>
  </si>
  <si>
    <t>Мастера 40-49 (23.04.1973)/48</t>
  </si>
  <si>
    <t>81,80</t>
  </si>
  <si>
    <t>Малышев Роман</t>
  </si>
  <si>
    <t>Открытая (20.08.1978)/42</t>
  </si>
  <si>
    <t>89,00</t>
  </si>
  <si>
    <t>222,5</t>
  </si>
  <si>
    <t>177,5</t>
  </si>
  <si>
    <t>Голубков Сергей</t>
  </si>
  <si>
    <t>Открытая (14.12.1990)/30</t>
  </si>
  <si>
    <t>85,70</t>
  </si>
  <si>
    <t>Аристархов Святослав</t>
  </si>
  <si>
    <t>Открытая (26.03.1996)/25</t>
  </si>
  <si>
    <t>85,10</t>
  </si>
  <si>
    <t>205,0</t>
  </si>
  <si>
    <t>Васильев Алексей</t>
  </si>
  <si>
    <t>Мастера 40-49 (04.10.1975)/45</t>
  </si>
  <si>
    <t>89,70</t>
  </si>
  <si>
    <t>227,5</t>
  </si>
  <si>
    <t>Волков Иван</t>
  </si>
  <si>
    <t>Открытая (14.06.1989)/31</t>
  </si>
  <si>
    <t>91,90</t>
  </si>
  <si>
    <t>Скорик Андрей</t>
  </si>
  <si>
    <t>Мастера 40-49 (23.05.1973)/48</t>
  </si>
  <si>
    <t>95,40</t>
  </si>
  <si>
    <t>142,5</t>
  </si>
  <si>
    <t>192,5</t>
  </si>
  <si>
    <t>202,5</t>
  </si>
  <si>
    <t>Зыков Олег</t>
  </si>
  <si>
    <t>Открытая (25.09.1993)/27</t>
  </si>
  <si>
    <t>103,80</t>
  </si>
  <si>
    <t>56</t>
  </si>
  <si>
    <t>347,5</t>
  </si>
  <si>
    <t>369,6705</t>
  </si>
  <si>
    <t>52</t>
  </si>
  <si>
    <t>282,5</t>
  </si>
  <si>
    <t>313,3773</t>
  </si>
  <si>
    <t>252,5</t>
  </si>
  <si>
    <t>283,5575</t>
  </si>
  <si>
    <t>82.5</t>
  </si>
  <si>
    <t>60</t>
  </si>
  <si>
    <t>455,0</t>
  </si>
  <si>
    <t>398,0795</t>
  </si>
  <si>
    <t>90</t>
  </si>
  <si>
    <t>642,5</t>
  </si>
  <si>
    <t>395,5873</t>
  </si>
  <si>
    <t>550,0</t>
  </si>
  <si>
    <t>346,1975</t>
  </si>
  <si>
    <t>75</t>
  </si>
  <si>
    <t>-</t>
  </si>
  <si>
    <t>2</t>
  </si>
  <si>
    <t>3</t>
  </si>
  <si>
    <t>Щиголь Алексей</t>
  </si>
  <si>
    <t>Открытая (05.11.1985)/35</t>
  </si>
  <si>
    <t>98,50</t>
  </si>
  <si>
    <t>235,0</t>
  </si>
  <si>
    <t>277,5</t>
  </si>
  <si>
    <t>Моисеев Сергей</t>
  </si>
  <si>
    <t>Открытая (24.08.1977)/43</t>
  </si>
  <si>
    <t>97,50</t>
  </si>
  <si>
    <t>Птичкин Сергей</t>
  </si>
  <si>
    <t>Мастера 40-49 (08.06.1976)/44</t>
  </si>
  <si>
    <t>100,60</t>
  </si>
  <si>
    <t>247,5</t>
  </si>
  <si>
    <t>Уткина Ольга</t>
  </si>
  <si>
    <t>Мастера 40-49 (21.03.1979)/42</t>
  </si>
  <si>
    <t>59,80</t>
  </si>
  <si>
    <t>Петровская Марина</t>
  </si>
  <si>
    <t>65,90</t>
  </si>
  <si>
    <t>137,5</t>
  </si>
  <si>
    <t>Минина Людмила</t>
  </si>
  <si>
    <t>Мастера 40-49 (24.05.1976)/45</t>
  </si>
  <si>
    <t>82,20</t>
  </si>
  <si>
    <t>Гагарский Роман</t>
  </si>
  <si>
    <t>Открытая (11.07.1989)/31</t>
  </si>
  <si>
    <t>76,60</t>
  </si>
  <si>
    <t>Раджабов Роман</t>
  </si>
  <si>
    <t>Открытая (23.02.1985)/36</t>
  </si>
  <si>
    <t>86,20</t>
  </si>
  <si>
    <t>125,0</t>
  </si>
  <si>
    <t>Резанов Андрей</t>
  </si>
  <si>
    <t>Мастера 50-59 (22.04.1967)/54</t>
  </si>
  <si>
    <t>89,50</t>
  </si>
  <si>
    <t>212,5</t>
  </si>
  <si>
    <t>Пеунков Михаил</t>
  </si>
  <si>
    <t>Открытая (08.03.1987)/34</t>
  </si>
  <si>
    <t>104,20</t>
  </si>
  <si>
    <t>255,0</t>
  </si>
  <si>
    <t>ВЕСОВАЯ КАТЕГОРИЯ   125</t>
  </si>
  <si>
    <t>Поздняков Николай</t>
  </si>
  <si>
    <t>Открытая (04.11.1978)/42</t>
  </si>
  <si>
    <t>116,50</t>
  </si>
  <si>
    <t>Румянцева Светлана</t>
  </si>
  <si>
    <t>Открытая (16.05.1988)/33</t>
  </si>
  <si>
    <t>70,20</t>
  </si>
  <si>
    <t xml:space="preserve">Румянцев С. </t>
  </si>
  <si>
    <t>Айвазян Вардан</t>
  </si>
  <si>
    <t>67,00</t>
  </si>
  <si>
    <t>Еремин Юрий</t>
  </si>
  <si>
    <t>Открытая (23.11.1983)/37</t>
  </si>
  <si>
    <t>81,00</t>
  </si>
  <si>
    <t>Костин Александр</t>
  </si>
  <si>
    <t>Открытая (05.01.1996)/25</t>
  </si>
  <si>
    <t>79,80</t>
  </si>
  <si>
    <t>Белов Станислав</t>
  </si>
  <si>
    <t>Открытая (11.11.1990)/30</t>
  </si>
  <si>
    <t>89,80</t>
  </si>
  <si>
    <t xml:space="preserve">Тихвин/Ленинградская область </t>
  </si>
  <si>
    <t>Степичев Сергей</t>
  </si>
  <si>
    <t>Открытая (06.07.1977)/43</t>
  </si>
  <si>
    <t xml:space="preserve">Смыслов И. </t>
  </si>
  <si>
    <t>Мастера 40-49 (06.07.1977)/43</t>
  </si>
  <si>
    <t>Оглуздин Александр</t>
  </si>
  <si>
    <t>95,20</t>
  </si>
  <si>
    <t>Иванов Николай</t>
  </si>
  <si>
    <t>Мастера 40-49 (04.03.1974)/47</t>
  </si>
  <si>
    <t>98,60</t>
  </si>
  <si>
    <t>Усков Николай</t>
  </si>
  <si>
    <t>Открытая (20.12.1979)/41</t>
  </si>
  <si>
    <t>109,40</t>
  </si>
  <si>
    <t xml:space="preserve">Санкт-Петербург </t>
  </si>
  <si>
    <t>182,5</t>
  </si>
  <si>
    <t>Мастера 40-49 (20.12.1979)/41</t>
  </si>
  <si>
    <t>Хохлов Олег</t>
  </si>
  <si>
    <t>Открытая (18.04.1981)/40</t>
  </si>
  <si>
    <t>119,00</t>
  </si>
  <si>
    <t xml:space="preserve">Громов А. </t>
  </si>
  <si>
    <t>Шихмагомедов Тимур</t>
  </si>
  <si>
    <t>Открытая (25.07.1987)/33</t>
  </si>
  <si>
    <t>126,90</t>
  </si>
  <si>
    <t>Розанов Илья</t>
  </si>
  <si>
    <t>Открытая (20.02.1992)/29</t>
  </si>
  <si>
    <t>139,70</t>
  </si>
  <si>
    <t xml:space="preserve">Результат </t>
  </si>
  <si>
    <t>124,3230</t>
  </si>
  <si>
    <t>120,9132</t>
  </si>
  <si>
    <t>114,2585</t>
  </si>
  <si>
    <t>Результат</t>
  </si>
  <si>
    <t>Гусева Ксения</t>
  </si>
  <si>
    <t>Открытая (26.06.2000)/20</t>
  </si>
  <si>
    <t>42,5</t>
  </si>
  <si>
    <t>Матюхина Екатерина</t>
  </si>
  <si>
    <t>Открытая (20.05.1990)/31</t>
  </si>
  <si>
    <t>51,20</t>
  </si>
  <si>
    <t xml:space="preserve">Тверь/Тверская область </t>
  </si>
  <si>
    <t>Карпова Анастасия</t>
  </si>
  <si>
    <t>Открытая (14.07.1987)/33</t>
  </si>
  <si>
    <t>49,10</t>
  </si>
  <si>
    <t xml:space="preserve">Кудряшов Д </t>
  </si>
  <si>
    <t>Добромыслова Арина</t>
  </si>
  <si>
    <t>56,00</t>
  </si>
  <si>
    <t xml:space="preserve">Пестово/Новгородская область </t>
  </si>
  <si>
    <t>37,5</t>
  </si>
  <si>
    <t>40,0</t>
  </si>
  <si>
    <t>Брагина Юлия</t>
  </si>
  <si>
    <t>Открытая (20.04.1990)/31</t>
  </si>
  <si>
    <t>55,40</t>
  </si>
  <si>
    <t>35,0</t>
  </si>
  <si>
    <t>Цесарская Софья</t>
  </si>
  <si>
    <t>59,00</t>
  </si>
  <si>
    <t>Садовникова Юлия</t>
  </si>
  <si>
    <t>Открытая (26.06.1983)/37</t>
  </si>
  <si>
    <t>60,00</t>
  </si>
  <si>
    <t xml:space="preserve">Чагода/Вологодская область </t>
  </si>
  <si>
    <t>Железов Никита</t>
  </si>
  <si>
    <t>53,00</t>
  </si>
  <si>
    <t>57,5</t>
  </si>
  <si>
    <t>Одноволик Роман</t>
  </si>
  <si>
    <t>65,80</t>
  </si>
  <si>
    <t>Гребенщиков Михаил</t>
  </si>
  <si>
    <t>Открытая (08.12.1987)/33</t>
  </si>
  <si>
    <t>67,30</t>
  </si>
  <si>
    <t>Абдуллаев Анвар</t>
  </si>
  <si>
    <t>Открытая (17.04.2002)/19</t>
  </si>
  <si>
    <t>67,10</t>
  </si>
  <si>
    <t>102,5</t>
  </si>
  <si>
    <t>107,5</t>
  </si>
  <si>
    <t>Гальцов Даниил</t>
  </si>
  <si>
    <t>72,20</t>
  </si>
  <si>
    <t xml:space="preserve">Киселёв А. </t>
  </si>
  <si>
    <t>Молчанов Михаил</t>
  </si>
  <si>
    <t>Открытая (29.04.1987)/34</t>
  </si>
  <si>
    <t>70,10</t>
  </si>
  <si>
    <t>Гребнев Александр</t>
  </si>
  <si>
    <t>Открытая (03.04.1982)/39</t>
  </si>
  <si>
    <t>74,00</t>
  </si>
  <si>
    <t>Окочутин Матвей</t>
  </si>
  <si>
    <t>Открытая (07.04.1997)/24</t>
  </si>
  <si>
    <t>74,90</t>
  </si>
  <si>
    <t>Ефимов Олег</t>
  </si>
  <si>
    <t>Открытая (12.09.1993)/27</t>
  </si>
  <si>
    <t>69,80</t>
  </si>
  <si>
    <t>Вяткин Вячеслав</t>
  </si>
  <si>
    <t>Открытая (20.05.1988)/33</t>
  </si>
  <si>
    <t>78,90</t>
  </si>
  <si>
    <t xml:space="preserve">Котлас/Архангельская область </t>
  </si>
  <si>
    <t>167,5</t>
  </si>
  <si>
    <t>172,5</t>
  </si>
  <si>
    <t>Попцов Артем</t>
  </si>
  <si>
    <t>Открытая (03.05.1987)/34</t>
  </si>
  <si>
    <t>79,40</t>
  </si>
  <si>
    <t>Тонковский Олег</t>
  </si>
  <si>
    <t>Открытая (15.05.1993)/28</t>
  </si>
  <si>
    <t>81,90</t>
  </si>
  <si>
    <t>Янушкевич Дмитрий</t>
  </si>
  <si>
    <t>Открытая (16.12.1987)/33</t>
  </si>
  <si>
    <t>78,20</t>
  </si>
  <si>
    <t>127,5</t>
  </si>
  <si>
    <t>Кудряшов Дмитрий</t>
  </si>
  <si>
    <t>Мастера 40-49 (27.06.1975)/45</t>
  </si>
  <si>
    <t>Молочков Кирилл</t>
  </si>
  <si>
    <t>88,30</t>
  </si>
  <si>
    <t>Предтеченский Павел</t>
  </si>
  <si>
    <t>85,40</t>
  </si>
  <si>
    <t>Кузин Глеб</t>
  </si>
  <si>
    <t>83,30</t>
  </si>
  <si>
    <t>Нранян Роман</t>
  </si>
  <si>
    <t>Открытая (05.02.1989)/32</t>
  </si>
  <si>
    <t>88,70</t>
  </si>
  <si>
    <t>Тарасов Николай</t>
  </si>
  <si>
    <t>Открытая (20.03.1991)/30</t>
  </si>
  <si>
    <t>85,50</t>
  </si>
  <si>
    <t xml:space="preserve">Мирный/Архангельская область </t>
  </si>
  <si>
    <t xml:space="preserve">Глазьев Н. </t>
  </si>
  <si>
    <t>Порошин Максим</t>
  </si>
  <si>
    <t>Открытая (12.12.1995)/25</t>
  </si>
  <si>
    <t>88,90</t>
  </si>
  <si>
    <t>Абросимов Артём</t>
  </si>
  <si>
    <t>Открытая (22.06.1991)/29</t>
  </si>
  <si>
    <t>Чегодаев Илья</t>
  </si>
  <si>
    <t>Открытая (19.11.1989)/31</t>
  </si>
  <si>
    <t>87,80</t>
  </si>
  <si>
    <t>Вдовин Никита</t>
  </si>
  <si>
    <t>96,80</t>
  </si>
  <si>
    <t>Федотов Игорь</t>
  </si>
  <si>
    <t>96,90</t>
  </si>
  <si>
    <t>Нелаев Сергей</t>
  </si>
  <si>
    <t>Открытая (01.03.1982)/39</t>
  </si>
  <si>
    <t>100,00</t>
  </si>
  <si>
    <t>Ефимовский Владислав</t>
  </si>
  <si>
    <t>Открытая (20.12.1995)/25</t>
  </si>
  <si>
    <t>98,10</t>
  </si>
  <si>
    <t>Канин Михаил</t>
  </si>
  <si>
    <t>Открытая (06.07.1978)/42</t>
  </si>
  <si>
    <t>96,40</t>
  </si>
  <si>
    <t>Татаренков Роман</t>
  </si>
  <si>
    <t>Открытая (20.03.1987)/34</t>
  </si>
  <si>
    <t>96,00</t>
  </si>
  <si>
    <t xml:space="preserve">Вытегра/Вологодская область </t>
  </si>
  <si>
    <t>Акинтьев Евгений</t>
  </si>
  <si>
    <t>Открытая (28.05.1996)/25</t>
  </si>
  <si>
    <t>95,30</t>
  </si>
  <si>
    <t>Мастера 40-49 (06.07.1978)/42</t>
  </si>
  <si>
    <t>Денисов Павел</t>
  </si>
  <si>
    <t>Мастера 40-49 (02.04.1979)/42</t>
  </si>
  <si>
    <t>97,00</t>
  </si>
  <si>
    <t>Будаян Сергей</t>
  </si>
  <si>
    <t>Открытая (21.12.1984)/36</t>
  </si>
  <si>
    <t>106,30</t>
  </si>
  <si>
    <t>78,4840</t>
  </si>
  <si>
    <t>72,1045</t>
  </si>
  <si>
    <t>69,1320</t>
  </si>
  <si>
    <t>117,7133</t>
  </si>
  <si>
    <t>116,3042</t>
  </si>
  <si>
    <t>114,5572</t>
  </si>
  <si>
    <t>4</t>
  </si>
  <si>
    <t>5</t>
  </si>
  <si>
    <t>6</t>
  </si>
  <si>
    <t>Неустроев Алексей</t>
  </si>
  <si>
    <t>Открытая (25.11.1995)/25</t>
  </si>
  <si>
    <t>106,80</t>
  </si>
  <si>
    <t>322,5</t>
  </si>
  <si>
    <t>Дмитриева Татьяна</t>
  </si>
  <si>
    <t>Открытая (09.12.1991)/29</t>
  </si>
  <si>
    <t>58,70</t>
  </si>
  <si>
    <t xml:space="preserve">Костылев А </t>
  </si>
  <si>
    <t>Масолбасов Алексей</t>
  </si>
  <si>
    <t>Открытая (29.03.2002)/19</t>
  </si>
  <si>
    <t>69,10</t>
  </si>
  <si>
    <t>Большаков Алексей</t>
  </si>
  <si>
    <t>Открытая (12.05.1997)/24</t>
  </si>
  <si>
    <t>73,50</t>
  </si>
  <si>
    <t>Якушевич Алексей</t>
  </si>
  <si>
    <t>Открытая (02.07.1991)/29</t>
  </si>
  <si>
    <t>99,30</t>
  </si>
  <si>
    <t>275,0</t>
  </si>
  <si>
    <t xml:space="preserve">Длужневский С. </t>
  </si>
  <si>
    <t>Мухина Валентина</t>
  </si>
  <si>
    <t>Мастера 40-49 (12.03.1973)/48</t>
  </si>
  <si>
    <t>61,80</t>
  </si>
  <si>
    <t>Савельев Никита</t>
  </si>
  <si>
    <t>Открытая (30.11.2001)/19</t>
  </si>
  <si>
    <t>67,50</t>
  </si>
  <si>
    <t>Новожилов Николай</t>
  </si>
  <si>
    <t>Открытая (19.05.1982)/39</t>
  </si>
  <si>
    <t>87,60</t>
  </si>
  <si>
    <t>Романов Антон</t>
  </si>
  <si>
    <t>56,80</t>
  </si>
  <si>
    <t>Ионел Александр</t>
  </si>
  <si>
    <t>Открытая (25.04.1992)/29</t>
  </si>
  <si>
    <t>77,40</t>
  </si>
  <si>
    <t>Семенов Роман</t>
  </si>
  <si>
    <t>Открытая (12.11.1979)/41</t>
  </si>
  <si>
    <t>99,70</t>
  </si>
  <si>
    <t xml:space="preserve">Королёв/Московская область </t>
  </si>
  <si>
    <t>285,0</t>
  </si>
  <si>
    <t>295,0</t>
  </si>
  <si>
    <t>305,5</t>
  </si>
  <si>
    <t>Емельянов Николай</t>
  </si>
  <si>
    <t>Открытая (30.08.1979)/41</t>
  </si>
  <si>
    <t>117,20</t>
  </si>
  <si>
    <t xml:space="preserve">Лосино-Петровский/Московская область </t>
  </si>
  <si>
    <t>320,0</t>
  </si>
  <si>
    <t>330,0</t>
  </si>
  <si>
    <t>352,5</t>
  </si>
  <si>
    <t xml:space="preserve">Каштанов С. </t>
  </si>
  <si>
    <t>Филиппова Ксения</t>
  </si>
  <si>
    <t>Открытая (10.10.1992)/28</t>
  </si>
  <si>
    <t>68,00</t>
  </si>
  <si>
    <t>Пигольчук Роман</t>
  </si>
  <si>
    <t>Открытая (20.08.1984)/36</t>
  </si>
  <si>
    <t>89,20</t>
  </si>
  <si>
    <t>187,5</t>
  </si>
  <si>
    <t>Голосов Андрей</t>
  </si>
  <si>
    <t>Открытая (21.02.1987)/34</t>
  </si>
  <si>
    <t>Терешичев Антон</t>
  </si>
  <si>
    <t>Открытая (31.03.1986)/35</t>
  </si>
  <si>
    <t>81,60</t>
  </si>
  <si>
    <t>Беспаликов Валерий</t>
  </si>
  <si>
    <t>Открытая (07.04.1981)/40</t>
  </si>
  <si>
    <t>103,10</t>
  </si>
  <si>
    <t xml:space="preserve">Раменское/Московская область </t>
  </si>
  <si>
    <t>345,0</t>
  </si>
  <si>
    <t xml:space="preserve">Сербин А. </t>
  </si>
  <si>
    <t>Феничев Сергей</t>
  </si>
  <si>
    <t>Открытая (08.08.1987)/33</t>
  </si>
  <si>
    <t>32,5</t>
  </si>
  <si>
    <t>30,0</t>
  </si>
  <si>
    <t>Староверов Александр</t>
  </si>
  <si>
    <t>Открытая (23.03.1992)/29</t>
  </si>
  <si>
    <t>Петров Андрей</t>
  </si>
  <si>
    <t>Открытая (17.06.1982)/38</t>
  </si>
  <si>
    <t>98,00</t>
  </si>
  <si>
    <t>Казаков Андрей</t>
  </si>
  <si>
    <t>56,90</t>
  </si>
  <si>
    <t>Дмитриев Виталий</t>
  </si>
  <si>
    <t>Открытая (26.01.1991)/30</t>
  </si>
  <si>
    <t>Гусаров Егор</t>
  </si>
  <si>
    <t>Открытая (20.10.1989)/31</t>
  </si>
  <si>
    <t>72,80</t>
  </si>
  <si>
    <t>Шадричев Сергей</t>
  </si>
  <si>
    <t>Открытая (02.07.1986)/34</t>
  </si>
  <si>
    <t>79,60</t>
  </si>
  <si>
    <t xml:space="preserve">Волгореченск/Костромская область </t>
  </si>
  <si>
    <t>Макаров Кирилл</t>
  </si>
  <si>
    <t>Открытая (23.01.1995)/26</t>
  </si>
  <si>
    <t>78,60</t>
  </si>
  <si>
    <t>Бахтин Марат</t>
  </si>
  <si>
    <t>Открытая (20.06.1986)/34</t>
  </si>
  <si>
    <t>80,20</t>
  </si>
  <si>
    <t xml:space="preserve">Рыбинск/Ярославская область </t>
  </si>
  <si>
    <t>Кургузкин Владимир</t>
  </si>
  <si>
    <t>79,90</t>
  </si>
  <si>
    <t>45,2875</t>
  </si>
  <si>
    <t>44,5534</t>
  </si>
  <si>
    <t>43,2802</t>
  </si>
  <si>
    <t>Тимашев Данил</t>
  </si>
  <si>
    <t>Открытая (05.09.1995)/25</t>
  </si>
  <si>
    <t>75,00</t>
  </si>
  <si>
    <t xml:space="preserve">Ростов/Ярославская область </t>
  </si>
  <si>
    <t>Маслов Владимир</t>
  </si>
  <si>
    <t>Открытая (01.06.1977)/43</t>
  </si>
  <si>
    <t>88,10</t>
  </si>
  <si>
    <t>ВЕСОВАЯ КАТЕГОРИЯ   80</t>
  </si>
  <si>
    <t>Малютин Артем</t>
  </si>
  <si>
    <t>Открытая (12.06.1991)/29</t>
  </si>
  <si>
    <t>77,90</t>
  </si>
  <si>
    <t>Осипов Руслан</t>
  </si>
  <si>
    <t>Открытая (09.11.1987)/33</t>
  </si>
  <si>
    <t>86,70</t>
  </si>
  <si>
    <t>Тяга</t>
  </si>
  <si>
    <t>Козлов Артем</t>
  </si>
  <si>
    <t>Открытая (29.06.1995)/25</t>
  </si>
  <si>
    <t>76,00</t>
  </si>
  <si>
    <t xml:space="preserve">Грязовец/Вологодская область </t>
  </si>
  <si>
    <t>Востриков Антон</t>
  </si>
  <si>
    <t>Открытая (07.06.1995)/25</t>
  </si>
  <si>
    <t>86,10</t>
  </si>
  <si>
    <t>Балашов Н.</t>
  </si>
  <si>
    <t xml:space="preserve">Москва </t>
  </si>
  <si>
    <t xml:space="preserve">Емелин А. </t>
  </si>
  <si>
    <t>Нуралиев Р.</t>
  </si>
  <si>
    <t>Ерёмин Ю.</t>
  </si>
  <si>
    <t>Попов А.</t>
  </si>
  <si>
    <t xml:space="preserve">Руммо К. </t>
  </si>
  <si>
    <t>Громов А.</t>
  </si>
  <si>
    <t xml:space="preserve">Звездин И. </t>
  </si>
  <si>
    <t>Шиловский Е.</t>
  </si>
  <si>
    <t>Погодин И.</t>
  </si>
  <si>
    <t>Тишук В.</t>
  </si>
  <si>
    <t>Терешичев А.</t>
  </si>
  <si>
    <t>Румянцев С.</t>
  </si>
  <si>
    <t>Марков А.</t>
  </si>
  <si>
    <t>Якушевич А.</t>
  </si>
  <si>
    <t>Птичкин С.</t>
  </si>
  <si>
    <t>Великий Устюг/Вологодская облаcть</t>
  </si>
  <si>
    <t>Осипов В.</t>
  </si>
  <si>
    <t>Еремин Ю.</t>
  </si>
  <si>
    <t>Коробов Д.</t>
  </si>
  <si>
    <t>Никитинский А.</t>
  </si>
  <si>
    <t>Корельский О.</t>
  </si>
  <si>
    <t>Глазьев Н.</t>
  </si>
  <si>
    <t>Мокосин А.</t>
  </si>
  <si>
    <t>Розанов И.</t>
  </si>
  <si>
    <t>Чемпионат Северо-Западного федерального округа
СПР Жим лежа в однопетельной софт экипировке ДК
Вологда/Вологодская область, 29-30 мая 2021 года</t>
  </si>
  <si>
    <t>Чемпионат Северо-Западного федерального округа
СПР Жим лежа в однопетельной софт экипировке
Вологда/Вологодская область, 29-30 мая 2021 года</t>
  </si>
  <si>
    <t>Чемпионат Северо-Западного федерального округа
СПР Жим лежа в многопетельной софт экипировке ДК
Вологда/Вологодская область, 29-30 мая 2021 года</t>
  </si>
  <si>
    <t>Чемпионат Северо-Западного федерального округа
СПР Жим лежа в многопетельной софт экипировке
Вологда/Вологодская область, 29-30 мая 2021 года</t>
  </si>
  <si>
    <t>Чемпионат Северо-Западного федерального округа
СПР Жим лежа СФО
Вологда/Вологодская область, 29-30 мая 2021 года</t>
  </si>
  <si>
    <t>Чемпионат Северо-Западного федерального округа
ФЖД Любители с ДК двоеборье
Вологда/Вологодская область, 29-30 мая 2021 года</t>
  </si>
  <si>
    <t>Чемпионат Северо-Западного федерального округа
СПР Пауэрспорт ДК
Вологда/Вологодская область, 29-30 мая 2021 года</t>
  </si>
  <si>
    <t>Чемпионат Северо-Западного федерального округа
СПР Жим штанги стоя ДК
Вологда/Вологодская область, 29-30 мая 2021 года</t>
  </si>
  <si>
    <t>Чемпионат Северо-Западного федерального округа
СПР Строгий подъем штанги на бицепс ДК
Вологда/Вологодская область, 29-30 мая 2021 года</t>
  </si>
  <si>
    <t>Юниорки 20-23 (04.05.2000)/21</t>
  </si>
  <si>
    <t>Юниорки 20-23 (04.02.2000)/21</t>
  </si>
  <si>
    <t>Юноши 16-17 (16.10.2004)/16</t>
  </si>
  <si>
    <t>Юниоры 20-23 (12.11.1999)/21</t>
  </si>
  <si>
    <t>Юниорки 20-23 (09.03.2000)/21</t>
  </si>
  <si>
    <t>Юниорки 20-23 (21.05.2001)/20</t>
  </si>
  <si>
    <t>Юноши 16-17 (27.10.2004)/16</t>
  </si>
  <si>
    <t>Девушки 16-17 (18.12.2004)/16</t>
  </si>
  <si>
    <t>Юноши 13-15 (30.01.2008)/13</t>
  </si>
  <si>
    <t>Юноши 16-17 (20.09.2004)/16</t>
  </si>
  <si>
    <t>Юниоры 20-23 (01.04.2001)/20</t>
  </si>
  <si>
    <t>Юноши 13-15 (14.03.2006)/15</t>
  </si>
  <si>
    <t>Юноши 16-17 (12.01.2004)/17</t>
  </si>
  <si>
    <t>Юноши 16-17 (04.05.2005)/16</t>
  </si>
  <si>
    <t>Юноши 18-19 (15.05.2003)/18</t>
  </si>
  <si>
    <t>Юниоры 20-23 (05.10.1997)/23</t>
  </si>
  <si>
    <t>Юноши 16-17 (29.08.2003)/17</t>
  </si>
  <si>
    <t>Юноши 18-19 (06.05.2003)/18</t>
  </si>
  <si>
    <t>Юноши 13-19 (13.06.2006)/14</t>
  </si>
  <si>
    <t>Мастера 40-49 (13.12.1972)/48</t>
  </si>
  <si>
    <t>Весовая категория</t>
  </si>
  <si>
    <t>Чемпионат Северо-Западного федерального округа
GPA Пауэрлифтинг без экипировки ДК
Вологда/Вологодская область, 29-30 мая 2021 года</t>
  </si>
  <si>
    <t>Чемпионат Северо-Западного федерального округа
GPA Пауэрлифтинг без экипировки
Вологда/Вологодская область, 29-30 мая 2021 года</t>
  </si>
  <si>
    <t>Чемпионат Северо-Западного федерального округа
GPA Пауэрлифтинг в бинтах ДК
Вологда/Вологодская область, 29-30 мая 2021 года</t>
  </si>
  <si>
    <t>Чемпионат Северо-Западного федерального округа
GPA Пауэрлифтинг в бинтах
Вологда/Вологодская область, 29-30 мая 2021 года</t>
  </si>
  <si>
    <t>Чемпионат Северо-Западного федерального округа
GPA Силовое двоеборье без экипировки ДК
Вологда/Вологодская область, 29-30 мая 2021 года</t>
  </si>
  <si>
    <t>Чемпионат Северо-Западного федерального округа
GPA Силовое двоеборье без экипировки
Вологда/Вологодская область, 29-30 мая 2021 года</t>
  </si>
  <si>
    <t>Чемпионат Северо-Западного федерального округа
GPA Присед без экипировки ДК
Вологда/Вологодская область, 29-30 мая 2021 года</t>
  </si>
  <si>
    <t>Чемпионат Северо-Западного федерального округа 
GPA Присед в бинтах ДК
Вологда/Вологодская область, 29-30 мая 2021 года</t>
  </si>
  <si>
    <t>Чемпионат Северо-Западного федерального округа
GPA Жим лежа без экипировки ДК
Вологда/Вологодская область, 29-30 мая 2021 года</t>
  </si>
  <si>
    <t>Чемпионат Северо-Западного федерального округа
GPA Жим лежа без экипировки
Вологда/Вологодская область, 29-30 мая 2021 года</t>
  </si>
  <si>
    <t>Чемпионат Северо-Западного федерального округа
GPA Становая тяга без экипировки ДК
Вологда/Вологодская область, 29-30 мая 2021 года</t>
  </si>
  <si>
    <t>Чемпионат Северо-Западного федерального округа
GPA Становая тяга без экипировки
Вологда/Вологодская область, 29-30 мая 2021 года</t>
  </si>
  <si>
    <t>Мирный/Республика Саха (Якутия)</t>
  </si>
  <si>
    <t>Белозеров В.</t>
  </si>
  <si>
    <t xml:space="preserve">Птичкин С. </t>
  </si>
  <si>
    <t>Дроздов А.</t>
  </si>
  <si>
    <t>Моисеев И.</t>
  </si>
  <si>
    <t>Матюхина Е.</t>
  </si>
  <si>
    <t xml:space="preserve">Петрозаводск/Республика Карелия </t>
  </si>
  <si>
    <t>№</t>
  </si>
  <si>
    <t>Жим</t>
  </si>
  <si>
    <t xml:space="preserve">
Дата рождения/Возраст</t>
  </si>
  <si>
    <t>Возрастная группа</t>
  </si>
  <si>
    <t>O</t>
  </si>
  <si>
    <t>T</t>
  </si>
  <si>
    <t>M1</t>
  </si>
  <si>
    <t>J</t>
  </si>
  <si>
    <t>T2</t>
  </si>
  <si>
    <t>M2</t>
  </si>
  <si>
    <t>T3</t>
  </si>
  <si>
    <t>T1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</si>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</sst>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20" workbookViewId="0">
      <selection activeCell="E53" sqref="E53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9" style="5" bestFit="1" customWidth="1"/>
    <col min="4" max="4" width="16.1640625" style="5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20.33203125" style="5" customWidth="1"/>
    <col min="22" max="16384" width="9.1640625" style="3"/>
  </cols>
  <sheetData>
    <row r="1" spans="1:21" s="2" customFormat="1" ht="29" customHeight="1">
      <c r="A1" s="40" t="s">
        <v>609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9</v>
      </c>
      <c r="H3" s="52"/>
      <c r="I3" s="52"/>
      <c r="J3" s="52"/>
      <c r="K3" s="52" t="s">
        <v>10</v>
      </c>
      <c r="L3" s="52"/>
      <c r="M3" s="52"/>
      <c r="N3" s="52"/>
      <c r="O3" s="52" t="s">
        <v>11</v>
      </c>
      <c r="P3" s="52"/>
      <c r="Q3" s="52"/>
      <c r="R3" s="52"/>
      <c r="S3" s="54" t="s">
        <v>1</v>
      </c>
      <c r="T3" s="52" t="s">
        <v>3</v>
      </c>
      <c r="U3" s="56" t="s">
        <v>2</v>
      </c>
    </row>
    <row r="4" spans="1:21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1"/>
      <c r="U4" s="57"/>
    </row>
    <row r="5" spans="1:21" ht="16">
      <c r="A5" s="58" t="s">
        <v>74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8" t="s">
        <v>214</v>
      </c>
      <c r="B6" s="7" t="s">
        <v>75</v>
      </c>
      <c r="C6" s="7" t="s">
        <v>76</v>
      </c>
      <c r="D6" s="7" t="s">
        <v>77</v>
      </c>
      <c r="E6" s="7" t="s">
        <v>632</v>
      </c>
      <c r="F6" s="7" t="s">
        <v>16</v>
      </c>
      <c r="G6" s="14" t="s">
        <v>78</v>
      </c>
      <c r="H6" s="14" t="s">
        <v>79</v>
      </c>
      <c r="I6" s="15" t="s">
        <v>80</v>
      </c>
      <c r="J6" s="8"/>
      <c r="K6" s="15" t="s">
        <v>81</v>
      </c>
      <c r="L6" s="15" t="s">
        <v>81</v>
      </c>
      <c r="M6" s="8"/>
      <c r="N6" s="8"/>
      <c r="O6" s="15"/>
      <c r="P6" s="8"/>
      <c r="Q6" s="8"/>
      <c r="R6" s="8"/>
      <c r="S6" s="33">
        <v>0</v>
      </c>
      <c r="T6" s="8" t="str">
        <f>"0,0000"</f>
        <v>0,0000</v>
      </c>
      <c r="U6" s="7" t="s">
        <v>83</v>
      </c>
    </row>
    <row r="7" spans="1:21">
      <c r="B7" s="5" t="s">
        <v>73</v>
      </c>
    </row>
    <row r="8" spans="1:21" ht="16">
      <c r="A8" s="53" t="s">
        <v>84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17" t="s">
        <v>72</v>
      </c>
      <c r="B9" s="16" t="s">
        <v>85</v>
      </c>
      <c r="C9" s="16" t="s">
        <v>588</v>
      </c>
      <c r="D9" s="16" t="s">
        <v>86</v>
      </c>
      <c r="E9" s="16" t="s">
        <v>635</v>
      </c>
      <c r="F9" s="16" t="s">
        <v>53</v>
      </c>
      <c r="G9" s="22" t="s">
        <v>80</v>
      </c>
      <c r="H9" s="22" t="s">
        <v>87</v>
      </c>
      <c r="I9" s="22" t="s">
        <v>88</v>
      </c>
      <c r="J9" s="17"/>
      <c r="K9" s="22" t="s">
        <v>89</v>
      </c>
      <c r="L9" s="22" t="s">
        <v>81</v>
      </c>
      <c r="M9" s="22" t="s">
        <v>90</v>
      </c>
      <c r="N9" s="17"/>
      <c r="O9" s="22" t="s">
        <v>88</v>
      </c>
      <c r="P9" s="22" t="s">
        <v>91</v>
      </c>
      <c r="Q9" s="22" t="s">
        <v>22</v>
      </c>
      <c r="R9" s="17"/>
      <c r="S9" s="34" t="str">
        <f>"245,0"</f>
        <v>245,0</v>
      </c>
      <c r="T9" s="17" t="str">
        <f>"275,5515"</f>
        <v>275,5515</v>
      </c>
      <c r="U9" s="30" t="s">
        <v>569</v>
      </c>
    </row>
    <row r="10" spans="1:21">
      <c r="A10" s="19" t="s">
        <v>72</v>
      </c>
      <c r="B10" s="18" t="s">
        <v>92</v>
      </c>
      <c r="C10" s="18" t="s">
        <v>93</v>
      </c>
      <c r="D10" s="18" t="s">
        <v>94</v>
      </c>
      <c r="E10" s="18" t="s">
        <v>632</v>
      </c>
      <c r="F10" s="18" t="s">
        <v>16</v>
      </c>
      <c r="G10" s="23" t="s">
        <v>82</v>
      </c>
      <c r="H10" s="24" t="s">
        <v>95</v>
      </c>
      <c r="I10" s="23" t="s">
        <v>95</v>
      </c>
      <c r="J10" s="19"/>
      <c r="K10" s="23" t="s">
        <v>90</v>
      </c>
      <c r="L10" s="23" t="s">
        <v>96</v>
      </c>
      <c r="M10" s="24" t="s">
        <v>97</v>
      </c>
      <c r="N10" s="19"/>
      <c r="O10" s="23" t="s">
        <v>31</v>
      </c>
      <c r="P10" s="24" t="s">
        <v>98</v>
      </c>
      <c r="Q10" s="23" t="s">
        <v>17</v>
      </c>
      <c r="R10" s="19"/>
      <c r="S10" s="35" t="str">
        <f>"282,5"</f>
        <v>282,5</v>
      </c>
      <c r="T10" s="19" t="str">
        <f>"313,3773"</f>
        <v>313,3773</v>
      </c>
      <c r="U10" s="18" t="s">
        <v>563</v>
      </c>
    </row>
    <row r="11" spans="1:21">
      <c r="A11" s="19" t="s">
        <v>215</v>
      </c>
      <c r="B11" s="18" t="s">
        <v>99</v>
      </c>
      <c r="C11" s="18" t="s">
        <v>100</v>
      </c>
      <c r="D11" s="18" t="s">
        <v>101</v>
      </c>
      <c r="E11" s="18" t="s">
        <v>632</v>
      </c>
      <c r="F11" s="18" t="s">
        <v>16</v>
      </c>
      <c r="G11" s="24" t="s">
        <v>88</v>
      </c>
      <c r="H11" s="23" t="s">
        <v>88</v>
      </c>
      <c r="I11" s="23" t="s">
        <v>102</v>
      </c>
      <c r="J11" s="19"/>
      <c r="K11" s="23" t="s">
        <v>103</v>
      </c>
      <c r="L11" s="23" t="s">
        <v>104</v>
      </c>
      <c r="M11" s="23" t="s">
        <v>81</v>
      </c>
      <c r="N11" s="19"/>
      <c r="O11" s="24" t="s">
        <v>105</v>
      </c>
      <c r="P11" s="23" t="s">
        <v>31</v>
      </c>
      <c r="Q11" s="24" t="s">
        <v>98</v>
      </c>
      <c r="R11" s="19"/>
      <c r="S11" s="35" t="str">
        <f>"252,5"</f>
        <v>252,5</v>
      </c>
      <c r="T11" s="19" t="str">
        <f>"283,5575"</f>
        <v>283,5575</v>
      </c>
      <c r="U11" s="18" t="s">
        <v>563</v>
      </c>
    </row>
    <row r="12" spans="1:21">
      <c r="A12" s="21" t="s">
        <v>214</v>
      </c>
      <c r="B12" s="20" t="s">
        <v>106</v>
      </c>
      <c r="C12" s="20" t="s">
        <v>107</v>
      </c>
      <c r="D12" s="20" t="s">
        <v>94</v>
      </c>
      <c r="E12" s="20" t="s">
        <v>632</v>
      </c>
      <c r="F12" s="20" t="s">
        <v>16</v>
      </c>
      <c r="G12" s="25" t="s">
        <v>82</v>
      </c>
      <c r="H12" s="25" t="s">
        <v>82</v>
      </c>
      <c r="I12" s="25" t="s">
        <v>82</v>
      </c>
      <c r="J12" s="21"/>
      <c r="K12" s="25"/>
      <c r="L12" s="21"/>
      <c r="M12" s="21"/>
      <c r="N12" s="21"/>
      <c r="O12" s="25"/>
      <c r="P12" s="21"/>
      <c r="Q12" s="21"/>
      <c r="R12" s="21"/>
      <c r="S12" s="36">
        <v>0</v>
      </c>
      <c r="T12" s="21" t="str">
        <f>"0,0000"</f>
        <v>0,0000</v>
      </c>
      <c r="U12" s="20" t="s">
        <v>108</v>
      </c>
    </row>
    <row r="13" spans="1:21">
      <c r="B13" s="5" t="s">
        <v>73</v>
      </c>
    </row>
    <row r="14" spans="1:21" ht="16">
      <c r="A14" s="53" t="s">
        <v>109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17" t="s">
        <v>72</v>
      </c>
      <c r="B15" s="16" t="s">
        <v>110</v>
      </c>
      <c r="C15" s="16" t="s">
        <v>589</v>
      </c>
      <c r="D15" s="16" t="s">
        <v>111</v>
      </c>
      <c r="E15" s="16" t="s">
        <v>635</v>
      </c>
      <c r="F15" s="16" t="s">
        <v>112</v>
      </c>
      <c r="G15" s="22" t="s">
        <v>105</v>
      </c>
      <c r="H15" s="22" t="s">
        <v>113</v>
      </c>
      <c r="I15" s="22" t="s">
        <v>114</v>
      </c>
      <c r="J15" s="17"/>
      <c r="K15" s="22" t="s">
        <v>115</v>
      </c>
      <c r="L15" s="22" t="s">
        <v>97</v>
      </c>
      <c r="M15" s="22" t="s">
        <v>116</v>
      </c>
      <c r="N15" s="17"/>
      <c r="O15" s="22" t="s">
        <v>23</v>
      </c>
      <c r="P15" s="22" t="s">
        <v>117</v>
      </c>
      <c r="Q15" s="22" t="s">
        <v>118</v>
      </c>
      <c r="R15" s="17"/>
      <c r="S15" s="34" t="str">
        <f>"347,5"</f>
        <v>347,5</v>
      </c>
      <c r="T15" s="17" t="str">
        <f>"369,6705"</f>
        <v>369,6705</v>
      </c>
      <c r="U15" s="16" t="s">
        <v>571</v>
      </c>
    </row>
    <row r="16" spans="1:21">
      <c r="A16" s="21" t="s">
        <v>72</v>
      </c>
      <c r="B16" s="20" t="s">
        <v>110</v>
      </c>
      <c r="C16" s="20" t="s">
        <v>119</v>
      </c>
      <c r="D16" s="20" t="s">
        <v>111</v>
      </c>
      <c r="E16" s="20" t="s">
        <v>632</v>
      </c>
      <c r="F16" s="20" t="s">
        <v>112</v>
      </c>
      <c r="G16" s="26" t="s">
        <v>105</v>
      </c>
      <c r="H16" s="26" t="s">
        <v>113</v>
      </c>
      <c r="I16" s="26" t="s">
        <v>114</v>
      </c>
      <c r="J16" s="21"/>
      <c r="K16" s="26" t="s">
        <v>115</v>
      </c>
      <c r="L16" s="26" t="s">
        <v>97</v>
      </c>
      <c r="M16" s="26" t="s">
        <v>116</v>
      </c>
      <c r="N16" s="21"/>
      <c r="O16" s="26" t="s">
        <v>23</v>
      </c>
      <c r="P16" s="26" t="s">
        <v>117</v>
      </c>
      <c r="Q16" s="26" t="s">
        <v>118</v>
      </c>
      <c r="R16" s="21"/>
      <c r="S16" s="36" t="str">
        <f>"347,5"</f>
        <v>347,5</v>
      </c>
      <c r="T16" s="21" t="str">
        <f>"369,6705"</f>
        <v>369,6705</v>
      </c>
      <c r="U16" s="20" t="s">
        <v>571</v>
      </c>
    </row>
    <row r="17" spans="1:21">
      <c r="B17" s="5" t="s">
        <v>73</v>
      </c>
    </row>
    <row r="18" spans="1:21" ht="16">
      <c r="A18" s="53" t="s">
        <v>120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21">
      <c r="A19" s="8" t="s">
        <v>72</v>
      </c>
      <c r="B19" s="7" t="s">
        <v>121</v>
      </c>
      <c r="C19" s="7" t="s">
        <v>122</v>
      </c>
      <c r="D19" s="7" t="s">
        <v>123</v>
      </c>
      <c r="E19" s="7" t="s">
        <v>632</v>
      </c>
      <c r="F19" s="7" t="s">
        <v>39</v>
      </c>
      <c r="G19" s="14" t="s">
        <v>96</v>
      </c>
      <c r="H19" s="14" t="s">
        <v>78</v>
      </c>
      <c r="I19" s="14" t="s">
        <v>80</v>
      </c>
      <c r="J19" s="8"/>
      <c r="K19" s="14" t="s">
        <v>124</v>
      </c>
      <c r="L19" s="15" t="s">
        <v>103</v>
      </c>
      <c r="M19" s="15" t="s">
        <v>103</v>
      </c>
      <c r="N19" s="8"/>
      <c r="O19" s="14" t="s">
        <v>21</v>
      </c>
      <c r="P19" s="15" t="s">
        <v>95</v>
      </c>
      <c r="Q19" s="14" t="s">
        <v>95</v>
      </c>
      <c r="R19" s="8"/>
      <c r="S19" s="33" t="str">
        <f>"220,0"</f>
        <v>220,0</v>
      </c>
      <c r="T19" s="8" t="str">
        <f>"219,9340"</f>
        <v>219,9340</v>
      </c>
      <c r="U19" s="7" t="s">
        <v>567</v>
      </c>
    </row>
    <row r="20" spans="1:21">
      <c r="B20" s="5" t="s">
        <v>73</v>
      </c>
    </row>
    <row r="21" spans="1:21" ht="16">
      <c r="A21" s="53" t="s">
        <v>125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21">
      <c r="A22" s="8" t="s">
        <v>72</v>
      </c>
      <c r="B22" s="7" t="s">
        <v>126</v>
      </c>
      <c r="C22" s="7" t="s">
        <v>127</v>
      </c>
      <c r="D22" s="7" t="s">
        <v>128</v>
      </c>
      <c r="E22" s="7" t="s">
        <v>632</v>
      </c>
      <c r="F22" s="7" t="s">
        <v>129</v>
      </c>
      <c r="G22" s="14" t="s">
        <v>114</v>
      </c>
      <c r="H22" s="15" t="s">
        <v>130</v>
      </c>
      <c r="I22" s="14" t="s">
        <v>130</v>
      </c>
      <c r="J22" s="8"/>
      <c r="K22" s="14" t="s">
        <v>88</v>
      </c>
      <c r="L22" s="14" t="s">
        <v>102</v>
      </c>
      <c r="M22" s="14" t="s">
        <v>21</v>
      </c>
      <c r="N22" s="8"/>
      <c r="O22" s="14" t="s">
        <v>131</v>
      </c>
      <c r="P22" s="14" t="s">
        <v>132</v>
      </c>
      <c r="Q22" s="8"/>
      <c r="R22" s="8"/>
      <c r="S22" s="33" t="str">
        <f>"365,0"</f>
        <v>365,0</v>
      </c>
      <c r="T22" s="8" t="str">
        <f>"275,9400"</f>
        <v>275,9400</v>
      </c>
      <c r="U22" s="7" t="s">
        <v>573</v>
      </c>
    </row>
    <row r="23" spans="1:21">
      <c r="B23" s="5" t="s">
        <v>73</v>
      </c>
    </row>
    <row r="24" spans="1:21" ht="16">
      <c r="A24" s="53" t="s">
        <v>120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1">
      <c r="A25" s="17" t="s">
        <v>72</v>
      </c>
      <c r="B25" s="16" t="s">
        <v>133</v>
      </c>
      <c r="C25" s="16" t="s">
        <v>134</v>
      </c>
      <c r="D25" s="16" t="s">
        <v>135</v>
      </c>
      <c r="E25" s="16" t="s">
        <v>632</v>
      </c>
      <c r="F25" s="16" t="s">
        <v>136</v>
      </c>
      <c r="G25" s="22" t="s">
        <v>19</v>
      </c>
      <c r="H25" s="22" t="s">
        <v>137</v>
      </c>
      <c r="I25" s="22" t="s">
        <v>138</v>
      </c>
      <c r="J25" s="17"/>
      <c r="K25" s="22" t="s">
        <v>82</v>
      </c>
      <c r="L25" s="22" t="s">
        <v>105</v>
      </c>
      <c r="M25" s="22" t="s">
        <v>114</v>
      </c>
      <c r="N25" s="17"/>
      <c r="O25" s="22" t="s">
        <v>24</v>
      </c>
      <c r="P25" s="22" t="s">
        <v>139</v>
      </c>
      <c r="Q25" s="22" t="s">
        <v>140</v>
      </c>
      <c r="R25" s="17"/>
      <c r="S25" s="34" t="str">
        <f>"455,0"</f>
        <v>455,0</v>
      </c>
      <c r="T25" s="17" t="str">
        <f>"398,0795"</f>
        <v>398,0795</v>
      </c>
      <c r="U25" s="16"/>
    </row>
    <row r="26" spans="1:21">
      <c r="A26" s="19" t="s">
        <v>215</v>
      </c>
      <c r="B26" s="18" t="s">
        <v>141</v>
      </c>
      <c r="C26" s="18" t="s">
        <v>142</v>
      </c>
      <c r="D26" s="18" t="s">
        <v>143</v>
      </c>
      <c r="E26" s="18" t="s">
        <v>632</v>
      </c>
      <c r="F26" s="18" t="s">
        <v>39</v>
      </c>
      <c r="G26" s="23" t="s">
        <v>105</v>
      </c>
      <c r="H26" s="23" t="s">
        <v>114</v>
      </c>
      <c r="I26" s="23" t="s">
        <v>17</v>
      </c>
      <c r="J26" s="19"/>
      <c r="K26" s="23" t="s">
        <v>20</v>
      </c>
      <c r="L26" s="23" t="s">
        <v>88</v>
      </c>
      <c r="M26" s="24" t="s">
        <v>102</v>
      </c>
      <c r="N26" s="19"/>
      <c r="O26" s="23" t="s">
        <v>23</v>
      </c>
      <c r="P26" s="23" t="s">
        <v>24</v>
      </c>
      <c r="Q26" s="24" t="s">
        <v>144</v>
      </c>
      <c r="R26" s="19"/>
      <c r="S26" s="35" t="str">
        <f>"365,0"</f>
        <v>365,0</v>
      </c>
      <c r="T26" s="19" t="str">
        <f>"304,4830"</f>
        <v>304,4830</v>
      </c>
      <c r="U26" s="18"/>
    </row>
    <row r="27" spans="1:21">
      <c r="A27" s="21" t="s">
        <v>72</v>
      </c>
      <c r="B27" s="20" t="s">
        <v>141</v>
      </c>
      <c r="C27" s="20" t="s">
        <v>145</v>
      </c>
      <c r="D27" s="20" t="s">
        <v>143</v>
      </c>
      <c r="E27" s="20" t="s">
        <v>640</v>
      </c>
      <c r="F27" s="20" t="s">
        <v>39</v>
      </c>
      <c r="G27" s="26" t="s">
        <v>105</v>
      </c>
      <c r="H27" s="26" t="s">
        <v>114</v>
      </c>
      <c r="I27" s="26" t="s">
        <v>17</v>
      </c>
      <c r="J27" s="21"/>
      <c r="K27" s="26" t="s">
        <v>20</v>
      </c>
      <c r="L27" s="26" t="s">
        <v>88</v>
      </c>
      <c r="M27" s="25" t="s">
        <v>102</v>
      </c>
      <c r="N27" s="21"/>
      <c r="O27" s="26" t="s">
        <v>23</v>
      </c>
      <c r="P27" s="26" t="s">
        <v>24</v>
      </c>
      <c r="Q27" s="25" t="s">
        <v>144</v>
      </c>
      <c r="R27" s="21"/>
      <c r="S27" s="36" t="str">
        <f>"365,0"</f>
        <v>365,0</v>
      </c>
      <c r="T27" s="21" t="str">
        <f>"408,0072"</f>
        <v>408,0072</v>
      </c>
      <c r="U27" s="20"/>
    </row>
    <row r="28" spans="1:21">
      <c r="B28" s="5" t="s">
        <v>73</v>
      </c>
    </row>
    <row r="29" spans="1:21" ht="16">
      <c r="A29" s="53" t="s">
        <v>12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21">
      <c r="A30" s="8" t="s">
        <v>72</v>
      </c>
      <c r="B30" s="7" t="s">
        <v>146</v>
      </c>
      <c r="C30" s="7" t="s">
        <v>147</v>
      </c>
      <c r="D30" s="7" t="s">
        <v>148</v>
      </c>
      <c r="E30" s="7" t="s">
        <v>632</v>
      </c>
      <c r="F30" s="7" t="s">
        <v>16</v>
      </c>
      <c r="G30" s="15" t="s">
        <v>21</v>
      </c>
      <c r="H30" s="14" t="s">
        <v>21</v>
      </c>
      <c r="I30" s="14" t="s">
        <v>105</v>
      </c>
      <c r="J30" s="8"/>
      <c r="K30" s="14" t="s">
        <v>20</v>
      </c>
      <c r="L30" s="14" t="s">
        <v>91</v>
      </c>
      <c r="M30" s="14" t="s">
        <v>22</v>
      </c>
      <c r="N30" s="8"/>
      <c r="O30" s="14" t="s">
        <v>131</v>
      </c>
      <c r="P30" s="15" t="s">
        <v>32</v>
      </c>
      <c r="Q30" s="14" t="s">
        <v>23</v>
      </c>
      <c r="R30" s="8"/>
      <c r="S30" s="33" t="str">
        <f>"355,0"</f>
        <v>355,0</v>
      </c>
      <c r="T30" s="8" t="str">
        <f>"266,6938"</f>
        <v>266,6938</v>
      </c>
      <c r="U30" s="7" t="s">
        <v>149</v>
      </c>
    </row>
    <row r="31" spans="1:21">
      <c r="B31" s="5" t="s">
        <v>73</v>
      </c>
    </row>
    <row r="32" spans="1:21" ht="16">
      <c r="A32" s="53" t="s">
        <v>150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21">
      <c r="A33" s="17" t="s">
        <v>214</v>
      </c>
      <c r="B33" s="16" t="s">
        <v>151</v>
      </c>
      <c r="C33" s="16" t="s">
        <v>590</v>
      </c>
      <c r="D33" s="16" t="s">
        <v>152</v>
      </c>
      <c r="E33" s="16" t="s">
        <v>636</v>
      </c>
      <c r="F33" s="16" t="s">
        <v>153</v>
      </c>
      <c r="G33" s="27" t="s">
        <v>22</v>
      </c>
      <c r="H33" s="27" t="s">
        <v>105</v>
      </c>
      <c r="I33" s="27" t="s">
        <v>105</v>
      </c>
      <c r="J33" s="17"/>
      <c r="K33" s="27"/>
      <c r="L33" s="17"/>
      <c r="M33" s="17"/>
      <c r="N33" s="17"/>
      <c r="O33" s="27"/>
      <c r="P33" s="17"/>
      <c r="Q33" s="17"/>
      <c r="R33" s="17"/>
      <c r="S33" s="34">
        <v>0</v>
      </c>
      <c r="T33" s="17" t="str">
        <f>"0,0000"</f>
        <v>0,0000</v>
      </c>
      <c r="U33" s="16" t="s">
        <v>565</v>
      </c>
    </row>
    <row r="34" spans="1:21">
      <c r="A34" s="19" t="s">
        <v>72</v>
      </c>
      <c r="B34" s="18" t="s">
        <v>154</v>
      </c>
      <c r="C34" s="18" t="s">
        <v>155</v>
      </c>
      <c r="D34" s="18" t="s">
        <v>156</v>
      </c>
      <c r="E34" s="18" t="s">
        <v>632</v>
      </c>
      <c r="F34" s="18" t="s">
        <v>16</v>
      </c>
      <c r="G34" s="23" t="s">
        <v>21</v>
      </c>
      <c r="H34" s="23" t="s">
        <v>22</v>
      </c>
      <c r="I34" s="24" t="s">
        <v>31</v>
      </c>
      <c r="J34" s="19"/>
      <c r="K34" s="23" t="s">
        <v>116</v>
      </c>
      <c r="L34" s="23" t="s">
        <v>20</v>
      </c>
      <c r="M34" s="24" t="s">
        <v>21</v>
      </c>
      <c r="N34" s="19"/>
      <c r="O34" s="23" t="s">
        <v>17</v>
      </c>
      <c r="P34" s="23" t="s">
        <v>19</v>
      </c>
      <c r="Q34" s="24" t="s">
        <v>23</v>
      </c>
      <c r="R34" s="19"/>
      <c r="S34" s="35" t="str">
        <f>"320,0"</f>
        <v>320,0</v>
      </c>
      <c r="T34" s="19" t="str">
        <f>"222,0800"</f>
        <v>222,0800</v>
      </c>
      <c r="U34" s="18" t="s">
        <v>149</v>
      </c>
    </row>
    <row r="35" spans="1:21">
      <c r="A35" s="21" t="s">
        <v>72</v>
      </c>
      <c r="B35" s="20" t="s">
        <v>157</v>
      </c>
      <c r="C35" s="20" t="s">
        <v>158</v>
      </c>
      <c r="D35" s="20" t="s">
        <v>159</v>
      </c>
      <c r="E35" s="20" t="s">
        <v>637</v>
      </c>
      <c r="F35" s="20" t="s">
        <v>53</v>
      </c>
      <c r="G35" s="26" t="s">
        <v>138</v>
      </c>
      <c r="H35" s="26" t="s">
        <v>24</v>
      </c>
      <c r="I35" s="26" t="s">
        <v>118</v>
      </c>
      <c r="J35" s="21"/>
      <c r="K35" s="26" t="s">
        <v>31</v>
      </c>
      <c r="L35" s="26" t="s">
        <v>113</v>
      </c>
      <c r="M35" s="25" t="s">
        <v>114</v>
      </c>
      <c r="N35" s="21"/>
      <c r="O35" s="26" t="s">
        <v>118</v>
      </c>
      <c r="P35" s="26" t="s">
        <v>25</v>
      </c>
      <c r="Q35" s="26" t="s">
        <v>139</v>
      </c>
      <c r="R35" s="21"/>
      <c r="S35" s="36" t="str">
        <f>"450,0"</f>
        <v>450,0</v>
      </c>
      <c r="T35" s="21" t="str">
        <f>"367,9517"</f>
        <v>367,9517</v>
      </c>
      <c r="U35" s="29" t="s">
        <v>575</v>
      </c>
    </row>
    <row r="36" spans="1:21">
      <c r="B36" s="5" t="s">
        <v>73</v>
      </c>
    </row>
    <row r="37" spans="1:21" ht="16">
      <c r="A37" s="53" t="s">
        <v>160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21">
      <c r="A38" s="17" t="s">
        <v>72</v>
      </c>
      <c r="B38" s="16" t="s">
        <v>161</v>
      </c>
      <c r="C38" s="16" t="s">
        <v>591</v>
      </c>
      <c r="D38" s="16" t="s">
        <v>162</v>
      </c>
      <c r="E38" s="16" t="s">
        <v>635</v>
      </c>
      <c r="F38" s="16" t="s">
        <v>129</v>
      </c>
      <c r="G38" s="22" t="s">
        <v>138</v>
      </c>
      <c r="H38" s="27" t="s">
        <v>24</v>
      </c>
      <c r="I38" s="22" t="s">
        <v>24</v>
      </c>
      <c r="J38" s="17"/>
      <c r="K38" s="22" t="s">
        <v>31</v>
      </c>
      <c r="L38" s="22" t="s">
        <v>114</v>
      </c>
      <c r="M38" s="27" t="s">
        <v>98</v>
      </c>
      <c r="N38" s="17"/>
      <c r="O38" s="22" t="s">
        <v>163</v>
      </c>
      <c r="P38" s="22" t="s">
        <v>164</v>
      </c>
      <c r="Q38" s="17"/>
      <c r="R38" s="17"/>
      <c r="S38" s="34" t="str">
        <f>"500,0"</f>
        <v>500,0</v>
      </c>
      <c r="T38" s="17" t="str">
        <f>"324,3500"</f>
        <v>324,3500</v>
      </c>
      <c r="U38" s="16"/>
    </row>
    <row r="39" spans="1:21">
      <c r="A39" s="21" t="s">
        <v>72</v>
      </c>
      <c r="B39" s="20" t="s">
        <v>165</v>
      </c>
      <c r="C39" s="20" t="s">
        <v>166</v>
      </c>
      <c r="D39" s="20" t="s">
        <v>167</v>
      </c>
      <c r="E39" s="20" t="s">
        <v>634</v>
      </c>
      <c r="F39" s="20" t="s">
        <v>53</v>
      </c>
      <c r="G39" s="26" t="s">
        <v>33</v>
      </c>
      <c r="H39" s="26" t="s">
        <v>140</v>
      </c>
      <c r="I39" s="26" t="s">
        <v>56</v>
      </c>
      <c r="J39" s="21"/>
      <c r="K39" s="26" t="s">
        <v>18</v>
      </c>
      <c r="L39" s="26" t="s">
        <v>131</v>
      </c>
      <c r="M39" s="25" t="s">
        <v>19</v>
      </c>
      <c r="N39" s="21"/>
      <c r="O39" s="26" t="s">
        <v>56</v>
      </c>
      <c r="P39" s="26" t="s">
        <v>57</v>
      </c>
      <c r="Q39" s="26" t="s">
        <v>34</v>
      </c>
      <c r="R39" s="21"/>
      <c r="S39" s="36" t="str">
        <f>"525,0"</f>
        <v>525,0</v>
      </c>
      <c r="T39" s="21" t="str">
        <f>"373,3146"</f>
        <v>373,3146</v>
      </c>
      <c r="U39" s="20"/>
    </row>
    <row r="40" spans="1:21">
      <c r="B40" s="5" t="s">
        <v>73</v>
      </c>
    </row>
    <row r="41" spans="1:21" ht="16">
      <c r="A41" s="53" t="s">
        <v>125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21">
      <c r="A42" s="17" t="s">
        <v>72</v>
      </c>
      <c r="B42" s="16" t="s">
        <v>168</v>
      </c>
      <c r="C42" s="16" t="s">
        <v>169</v>
      </c>
      <c r="D42" s="16" t="s">
        <v>170</v>
      </c>
      <c r="E42" s="16" t="s">
        <v>632</v>
      </c>
      <c r="F42" s="16" t="s">
        <v>136</v>
      </c>
      <c r="G42" s="22" t="s">
        <v>34</v>
      </c>
      <c r="H42" s="22" t="s">
        <v>163</v>
      </c>
      <c r="I42" s="22" t="s">
        <v>171</v>
      </c>
      <c r="J42" s="17"/>
      <c r="K42" s="22" t="s">
        <v>24</v>
      </c>
      <c r="L42" s="22" t="s">
        <v>25</v>
      </c>
      <c r="M42" s="27" t="s">
        <v>172</v>
      </c>
      <c r="N42" s="17"/>
      <c r="O42" s="22" t="s">
        <v>54</v>
      </c>
      <c r="P42" s="22" t="s">
        <v>55</v>
      </c>
      <c r="Q42" s="27" t="s">
        <v>45</v>
      </c>
      <c r="R42" s="17"/>
      <c r="S42" s="34" t="str">
        <f>"642,5"</f>
        <v>642,5</v>
      </c>
      <c r="T42" s="17" t="str">
        <f>"395,5873"</f>
        <v>395,5873</v>
      </c>
      <c r="U42" s="16"/>
    </row>
    <row r="43" spans="1:21">
      <c r="A43" s="19" t="s">
        <v>215</v>
      </c>
      <c r="B43" s="18" t="s">
        <v>173</v>
      </c>
      <c r="C43" s="18" t="s">
        <v>174</v>
      </c>
      <c r="D43" s="18" t="s">
        <v>175</v>
      </c>
      <c r="E43" s="18" t="s">
        <v>632</v>
      </c>
      <c r="F43" s="18" t="s">
        <v>16</v>
      </c>
      <c r="G43" s="23" t="s">
        <v>33</v>
      </c>
      <c r="H43" s="24" t="s">
        <v>56</v>
      </c>
      <c r="I43" s="24" t="s">
        <v>57</v>
      </c>
      <c r="J43" s="19"/>
      <c r="K43" s="23" t="s">
        <v>131</v>
      </c>
      <c r="L43" s="23" t="s">
        <v>19</v>
      </c>
      <c r="M43" s="24" t="s">
        <v>32</v>
      </c>
      <c r="N43" s="19"/>
      <c r="O43" s="23" t="s">
        <v>40</v>
      </c>
      <c r="P43" s="23" t="s">
        <v>54</v>
      </c>
      <c r="Q43" s="24" t="s">
        <v>41</v>
      </c>
      <c r="R43" s="19"/>
      <c r="S43" s="35" t="str">
        <f>"550,0"</f>
        <v>550,0</v>
      </c>
      <c r="T43" s="19" t="str">
        <f>"346,1975"</f>
        <v>346,1975</v>
      </c>
      <c r="U43" s="31" t="s">
        <v>577</v>
      </c>
    </row>
    <row r="44" spans="1:21">
      <c r="A44" s="19" t="s">
        <v>216</v>
      </c>
      <c r="B44" s="18" t="s">
        <v>176</v>
      </c>
      <c r="C44" s="18" t="s">
        <v>177</v>
      </c>
      <c r="D44" s="18" t="s">
        <v>178</v>
      </c>
      <c r="E44" s="18" t="s">
        <v>632</v>
      </c>
      <c r="F44" s="18" t="s">
        <v>621</v>
      </c>
      <c r="G44" s="23" t="s">
        <v>19</v>
      </c>
      <c r="H44" s="24" t="s">
        <v>138</v>
      </c>
      <c r="I44" s="24" t="s">
        <v>138</v>
      </c>
      <c r="J44" s="19"/>
      <c r="K44" s="23" t="s">
        <v>17</v>
      </c>
      <c r="L44" s="24" t="s">
        <v>30</v>
      </c>
      <c r="M44" s="23" t="s">
        <v>30</v>
      </c>
      <c r="N44" s="19"/>
      <c r="O44" s="23" t="s">
        <v>56</v>
      </c>
      <c r="P44" s="23" t="s">
        <v>179</v>
      </c>
      <c r="Q44" s="19"/>
      <c r="R44" s="19"/>
      <c r="S44" s="35" t="str">
        <f>"477,5"</f>
        <v>477,5</v>
      </c>
      <c r="T44" s="19" t="str">
        <f>"301,8516"</f>
        <v>301,8516</v>
      </c>
      <c r="U44" s="31" t="s">
        <v>576</v>
      </c>
    </row>
    <row r="45" spans="1:21">
      <c r="A45" s="21" t="s">
        <v>72</v>
      </c>
      <c r="B45" s="20" t="s">
        <v>180</v>
      </c>
      <c r="C45" s="20" t="s">
        <v>181</v>
      </c>
      <c r="D45" s="20" t="s">
        <v>182</v>
      </c>
      <c r="E45" s="20" t="s">
        <v>634</v>
      </c>
      <c r="F45" s="20" t="s">
        <v>16</v>
      </c>
      <c r="G45" s="26" t="s">
        <v>24</v>
      </c>
      <c r="H45" s="26" t="s">
        <v>139</v>
      </c>
      <c r="I45" s="26" t="s">
        <v>33</v>
      </c>
      <c r="J45" s="21"/>
      <c r="K45" s="26" t="s">
        <v>18</v>
      </c>
      <c r="L45" s="25" t="s">
        <v>19</v>
      </c>
      <c r="M45" s="25" t="s">
        <v>19</v>
      </c>
      <c r="N45" s="21"/>
      <c r="O45" s="26" t="s">
        <v>34</v>
      </c>
      <c r="P45" s="26" t="s">
        <v>40</v>
      </c>
      <c r="Q45" s="26" t="s">
        <v>183</v>
      </c>
      <c r="R45" s="21"/>
      <c r="S45" s="36" t="str">
        <f>"537,5"</f>
        <v>537,5</v>
      </c>
      <c r="T45" s="21" t="str">
        <f>"347,6093"</f>
        <v>347,6093</v>
      </c>
      <c r="U45" s="20"/>
    </row>
    <row r="46" spans="1:21">
      <c r="B46" s="5" t="s">
        <v>73</v>
      </c>
    </row>
    <row r="47" spans="1:21" ht="16">
      <c r="A47" s="53" t="s">
        <v>26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21">
      <c r="A48" s="17" t="s">
        <v>72</v>
      </c>
      <c r="B48" s="16" t="s">
        <v>184</v>
      </c>
      <c r="C48" s="16" t="s">
        <v>185</v>
      </c>
      <c r="D48" s="16" t="s">
        <v>186</v>
      </c>
      <c r="E48" s="16" t="s">
        <v>632</v>
      </c>
      <c r="F48" s="16" t="s">
        <v>16</v>
      </c>
      <c r="G48" s="22" t="s">
        <v>21</v>
      </c>
      <c r="H48" s="22" t="s">
        <v>22</v>
      </c>
      <c r="I48" s="27" t="s">
        <v>31</v>
      </c>
      <c r="J48" s="17"/>
      <c r="K48" s="22" t="s">
        <v>21</v>
      </c>
      <c r="L48" s="22" t="s">
        <v>22</v>
      </c>
      <c r="M48" s="27" t="s">
        <v>113</v>
      </c>
      <c r="N48" s="17"/>
      <c r="O48" s="22" t="s">
        <v>17</v>
      </c>
      <c r="P48" s="22" t="s">
        <v>131</v>
      </c>
      <c r="Q48" s="27" t="s">
        <v>23</v>
      </c>
      <c r="R48" s="17"/>
      <c r="S48" s="34" t="str">
        <f>"335,0"</f>
        <v>335,0</v>
      </c>
      <c r="T48" s="17" t="str">
        <f>"202,6750"</f>
        <v>202,6750</v>
      </c>
      <c r="U48" s="16" t="s">
        <v>149</v>
      </c>
    </row>
    <row r="49" spans="1:21">
      <c r="A49" s="21" t="s">
        <v>72</v>
      </c>
      <c r="B49" s="20" t="s">
        <v>187</v>
      </c>
      <c r="C49" s="20" t="s">
        <v>188</v>
      </c>
      <c r="D49" s="20" t="s">
        <v>189</v>
      </c>
      <c r="E49" s="20" t="s">
        <v>634</v>
      </c>
      <c r="F49" s="20" t="s">
        <v>53</v>
      </c>
      <c r="G49" s="26" t="s">
        <v>23</v>
      </c>
      <c r="H49" s="26" t="s">
        <v>138</v>
      </c>
      <c r="I49" s="26" t="s">
        <v>117</v>
      </c>
      <c r="J49" s="21"/>
      <c r="K49" s="26" t="s">
        <v>131</v>
      </c>
      <c r="L49" s="26" t="s">
        <v>19</v>
      </c>
      <c r="M49" s="26" t="s">
        <v>190</v>
      </c>
      <c r="N49" s="21"/>
      <c r="O49" s="26" t="s">
        <v>33</v>
      </c>
      <c r="P49" s="26" t="s">
        <v>191</v>
      </c>
      <c r="Q49" s="25" t="s">
        <v>192</v>
      </c>
      <c r="R49" s="21"/>
      <c r="S49" s="36" t="str">
        <f>"492,5"</f>
        <v>492,5</v>
      </c>
      <c r="T49" s="21" t="str">
        <f>"320,7868"</f>
        <v>320,7868</v>
      </c>
      <c r="U49" s="20"/>
    </row>
    <row r="50" spans="1:21">
      <c r="B50" s="5" t="s">
        <v>73</v>
      </c>
    </row>
    <row r="51" spans="1:21" ht="16">
      <c r="A51" s="53" t="s">
        <v>35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21">
      <c r="A52" s="8" t="s">
        <v>72</v>
      </c>
      <c r="B52" s="7" t="s">
        <v>193</v>
      </c>
      <c r="C52" s="7" t="s">
        <v>194</v>
      </c>
      <c r="D52" s="7" t="s">
        <v>195</v>
      </c>
      <c r="E52" s="7" t="s">
        <v>632</v>
      </c>
      <c r="F52" s="7" t="s">
        <v>16</v>
      </c>
      <c r="G52" s="14" t="s">
        <v>25</v>
      </c>
      <c r="H52" s="14" t="s">
        <v>140</v>
      </c>
      <c r="I52" s="15" t="s">
        <v>57</v>
      </c>
      <c r="J52" s="8"/>
      <c r="K52" s="14" t="s">
        <v>20</v>
      </c>
      <c r="L52" s="14" t="s">
        <v>105</v>
      </c>
      <c r="M52" s="15" t="s">
        <v>114</v>
      </c>
      <c r="N52" s="8"/>
      <c r="O52" s="14" t="s">
        <v>24</v>
      </c>
      <c r="P52" s="14" t="s">
        <v>140</v>
      </c>
      <c r="Q52" s="14" t="s">
        <v>34</v>
      </c>
      <c r="R52" s="8"/>
      <c r="S52" s="33" t="str">
        <f>"490,0"</f>
        <v>490,0</v>
      </c>
      <c r="T52" s="8" t="str">
        <f>"280,7455"</f>
        <v>280,7455</v>
      </c>
      <c r="U52" s="28" t="s">
        <v>149</v>
      </c>
    </row>
    <row r="53" spans="1:21">
      <c r="B53" s="5" t="s">
        <v>73</v>
      </c>
    </row>
    <row r="55" spans="1:21">
      <c r="B55" s="5" t="s">
        <v>73</v>
      </c>
    </row>
    <row r="56" spans="1:21" ht="18">
      <c r="B56" s="9" t="s">
        <v>59</v>
      </c>
      <c r="C56" s="9"/>
    </row>
    <row r="57" spans="1:21" ht="16">
      <c r="B57" s="10" t="s">
        <v>60</v>
      </c>
      <c r="C57" s="10"/>
    </row>
    <row r="58" spans="1:21" ht="14">
      <c r="B58" s="11"/>
      <c r="C58" s="12" t="s">
        <v>61</v>
      </c>
    </row>
    <row r="59" spans="1:21" ht="14">
      <c r="A59" s="6"/>
      <c r="B59" s="13" t="s">
        <v>62</v>
      </c>
      <c r="C59" s="13" t="s">
        <v>63</v>
      </c>
      <c r="D59" s="13" t="s">
        <v>608</v>
      </c>
      <c r="E59" s="13" t="s">
        <v>65</v>
      </c>
      <c r="F59" s="13" t="s">
        <v>66</v>
      </c>
    </row>
    <row r="60" spans="1:21">
      <c r="A60" s="6"/>
      <c r="B60" s="5" t="s">
        <v>110</v>
      </c>
      <c r="C60" s="5" t="s">
        <v>61</v>
      </c>
      <c r="D60" s="6" t="s">
        <v>196</v>
      </c>
      <c r="E60" s="6" t="s">
        <v>197</v>
      </c>
      <c r="F60" s="6" t="s">
        <v>198</v>
      </c>
    </row>
    <row r="61" spans="1:21">
      <c r="A61" s="6"/>
      <c r="B61" s="5" t="s">
        <v>92</v>
      </c>
      <c r="C61" s="5" t="s">
        <v>61</v>
      </c>
      <c r="D61" s="6" t="s">
        <v>199</v>
      </c>
      <c r="E61" s="6" t="s">
        <v>200</v>
      </c>
      <c r="F61" s="6" t="s">
        <v>201</v>
      </c>
    </row>
    <row r="62" spans="1:21">
      <c r="A62" s="6"/>
      <c r="B62" s="5" t="s">
        <v>99</v>
      </c>
      <c r="C62" s="5" t="s">
        <v>61</v>
      </c>
      <c r="D62" s="6" t="s">
        <v>199</v>
      </c>
      <c r="E62" s="6" t="s">
        <v>202</v>
      </c>
      <c r="F62" s="6" t="s">
        <v>203</v>
      </c>
    </row>
    <row r="64" spans="1:21" ht="16">
      <c r="B64" s="10" t="s">
        <v>68</v>
      </c>
      <c r="C64" s="10"/>
    </row>
    <row r="65" spans="1:6" ht="14">
      <c r="B65" s="11"/>
      <c r="C65" s="12" t="s">
        <v>61</v>
      </c>
    </row>
    <row r="66" spans="1:6" ht="14">
      <c r="A66" s="6"/>
      <c r="B66" s="13" t="s">
        <v>62</v>
      </c>
      <c r="C66" s="13" t="s">
        <v>63</v>
      </c>
      <c r="D66" s="13" t="s">
        <v>608</v>
      </c>
      <c r="E66" s="13" t="s">
        <v>65</v>
      </c>
      <c r="F66" s="13" t="s">
        <v>66</v>
      </c>
    </row>
    <row r="67" spans="1:6">
      <c r="A67" s="6"/>
      <c r="B67" s="5" t="s">
        <v>133</v>
      </c>
      <c r="C67" s="5" t="s">
        <v>61</v>
      </c>
      <c r="D67" s="6" t="s">
        <v>205</v>
      </c>
      <c r="E67" s="6" t="s">
        <v>206</v>
      </c>
      <c r="F67" s="6" t="s">
        <v>207</v>
      </c>
    </row>
    <row r="68" spans="1:6">
      <c r="A68" s="6"/>
      <c r="B68" s="5" t="s">
        <v>168</v>
      </c>
      <c r="C68" s="5" t="s">
        <v>61</v>
      </c>
      <c r="D68" s="6" t="s">
        <v>208</v>
      </c>
      <c r="E68" s="6" t="s">
        <v>209</v>
      </c>
      <c r="F68" s="6" t="s">
        <v>210</v>
      </c>
    </row>
    <row r="69" spans="1:6">
      <c r="A69" s="6"/>
      <c r="B69" s="5" t="s">
        <v>173</v>
      </c>
      <c r="C69" s="5" t="s">
        <v>61</v>
      </c>
      <c r="D69" s="6" t="s">
        <v>208</v>
      </c>
      <c r="E69" s="6" t="s">
        <v>211</v>
      </c>
      <c r="F69" s="6" t="s">
        <v>212</v>
      </c>
    </row>
    <row r="70" spans="1:6">
      <c r="B70" s="5" t="s">
        <v>73</v>
      </c>
    </row>
  </sheetData>
  <mergeCells count="25">
    <mergeCell ref="A32:R32"/>
    <mergeCell ref="A37:R37"/>
    <mergeCell ref="A41:R41"/>
    <mergeCell ref="A47:R47"/>
    <mergeCell ref="A51:R51"/>
    <mergeCell ref="A24:R24"/>
    <mergeCell ref="A29:R29"/>
    <mergeCell ref="S3:S4"/>
    <mergeCell ref="T3:T4"/>
    <mergeCell ref="U3:U4"/>
    <mergeCell ref="A5:R5"/>
    <mergeCell ref="B3:B4"/>
    <mergeCell ref="A8:R8"/>
    <mergeCell ref="A14:R14"/>
    <mergeCell ref="A18:R18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6640625" style="5" bestFit="1" customWidth="1"/>
    <col min="4" max="4" width="18.83203125" style="5" customWidth="1"/>
    <col min="5" max="5" width="12.33203125" style="5" customWidth="1"/>
    <col min="6" max="6" width="34" style="5" bestFit="1" customWidth="1"/>
    <col min="7" max="9" width="5.5" style="6" customWidth="1"/>
    <col min="10" max="10" width="4.83203125" style="6" customWidth="1"/>
    <col min="11" max="11" width="11" style="6" customWidth="1"/>
    <col min="12" max="12" width="8.5" style="6" bestFit="1" customWidth="1"/>
    <col min="13" max="13" width="21.6640625" style="5" bestFit="1" customWidth="1"/>
    <col min="14" max="16384" width="9.1640625" style="3"/>
  </cols>
  <sheetData>
    <row r="1" spans="1:13" s="2" customFormat="1" ht="29" customHeight="1">
      <c r="A1" s="40" t="s">
        <v>618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150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257</v>
      </c>
      <c r="C6" s="7" t="s">
        <v>258</v>
      </c>
      <c r="D6" s="7" t="s">
        <v>259</v>
      </c>
      <c r="E6" s="7" t="s">
        <v>632</v>
      </c>
      <c r="F6" s="7" t="s">
        <v>554</v>
      </c>
      <c r="G6" s="14" t="s">
        <v>105</v>
      </c>
      <c r="H6" s="14" t="s">
        <v>31</v>
      </c>
      <c r="I6" s="15" t="s">
        <v>114</v>
      </c>
      <c r="J6" s="8"/>
      <c r="K6" s="8" t="str">
        <f>"110,0"</f>
        <v>110,0</v>
      </c>
      <c r="L6" s="8" t="str">
        <f>"96,2170"</f>
        <v>96,2170</v>
      </c>
      <c r="M6" s="7" t="s">
        <v>260</v>
      </c>
    </row>
    <row r="7" spans="1:13">
      <c r="B7" s="5" t="s">
        <v>73</v>
      </c>
    </row>
    <row r="8" spans="1:13" ht="16">
      <c r="A8" s="53" t="s">
        <v>12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72</v>
      </c>
      <c r="B9" s="7" t="s">
        <v>261</v>
      </c>
      <c r="C9" s="7" t="s">
        <v>604</v>
      </c>
      <c r="D9" s="7" t="s">
        <v>262</v>
      </c>
      <c r="E9" s="7" t="s">
        <v>636</v>
      </c>
      <c r="F9" s="7" t="s">
        <v>39</v>
      </c>
      <c r="G9" s="14" t="s">
        <v>21</v>
      </c>
      <c r="H9" s="15" t="s">
        <v>82</v>
      </c>
      <c r="I9" s="15" t="s">
        <v>95</v>
      </c>
      <c r="J9" s="8"/>
      <c r="K9" s="8" t="str">
        <f>"90,0"</f>
        <v>90,0</v>
      </c>
      <c r="L9" s="8" t="str">
        <f>"67,7835"</f>
        <v>67,7835</v>
      </c>
      <c r="M9" s="7"/>
    </row>
    <row r="10" spans="1:13">
      <c r="B10" s="5" t="s">
        <v>73</v>
      </c>
    </row>
    <row r="11" spans="1:13" ht="16">
      <c r="A11" s="53" t="s">
        <v>160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3">
      <c r="A12" s="17" t="s">
        <v>72</v>
      </c>
      <c r="B12" s="16" t="s">
        <v>263</v>
      </c>
      <c r="C12" s="16" t="s">
        <v>264</v>
      </c>
      <c r="D12" s="16" t="s">
        <v>265</v>
      </c>
      <c r="E12" s="16" t="s">
        <v>632</v>
      </c>
      <c r="F12" s="16" t="s">
        <v>16</v>
      </c>
      <c r="G12" s="22" t="s">
        <v>23</v>
      </c>
      <c r="H12" s="27" t="s">
        <v>138</v>
      </c>
      <c r="I12" s="27" t="s">
        <v>138</v>
      </c>
      <c r="J12" s="17"/>
      <c r="K12" s="17" t="str">
        <f>"150,0"</f>
        <v>150,0</v>
      </c>
      <c r="L12" s="17" t="str">
        <f>"97,8525"</f>
        <v>97,8525</v>
      </c>
      <c r="M12" s="16"/>
    </row>
    <row r="13" spans="1:13">
      <c r="A13" s="21" t="s">
        <v>215</v>
      </c>
      <c r="B13" s="20" t="s">
        <v>266</v>
      </c>
      <c r="C13" s="20" t="s">
        <v>267</v>
      </c>
      <c r="D13" s="20" t="s">
        <v>268</v>
      </c>
      <c r="E13" s="20" t="s">
        <v>632</v>
      </c>
      <c r="F13" s="20" t="s">
        <v>153</v>
      </c>
      <c r="G13" s="26" t="s">
        <v>131</v>
      </c>
      <c r="H13" s="26" t="s">
        <v>190</v>
      </c>
      <c r="I13" s="25" t="s">
        <v>23</v>
      </c>
      <c r="J13" s="21"/>
      <c r="K13" s="21" t="str">
        <f>"142,5"</f>
        <v>142,5</v>
      </c>
      <c r="L13" s="21" t="str">
        <f>"93,9004"</f>
        <v>93,9004</v>
      </c>
      <c r="M13" s="20" t="s">
        <v>565</v>
      </c>
    </row>
    <row r="14" spans="1:13">
      <c r="B14" s="5" t="s">
        <v>73</v>
      </c>
    </row>
    <row r="15" spans="1:13" ht="16">
      <c r="A15" s="53" t="s">
        <v>125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3">
      <c r="A16" s="17" t="s">
        <v>72</v>
      </c>
      <c r="B16" s="16" t="s">
        <v>269</v>
      </c>
      <c r="C16" s="16" t="s">
        <v>270</v>
      </c>
      <c r="D16" s="16" t="s">
        <v>271</v>
      </c>
      <c r="E16" s="16" t="s">
        <v>632</v>
      </c>
      <c r="F16" s="16" t="s">
        <v>272</v>
      </c>
      <c r="G16" s="22" t="s">
        <v>137</v>
      </c>
      <c r="H16" s="22" t="s">
        <v>24</v>
      </c>
      <c r="I16" s="22" t="s">
        <v>118</v>
      </c>
      <c r="J16" s="17"/>
      <c r="K16" s="17" t="str">
        <f>"162,5"</f>
        <v>162,5</v>
      </c>
      <c r="L16" s="17" t="str">
        <f>"99,5475"</f>
        <v>99,5475</v>
      </c>
      <c r="M16" s="30" t="s">
        <v>574</v>
      </c>
    </row>
    <row r="17" spans="1:13">
      <c r="A17" s="19" t="s">
        <v>215</v>
      </c>
      <c r="B17" s="18" t="s">
        <v>273</v>
      </c>
      <c r="C17" s="18" t="s">
        <v>274</v>
      </c>
      <c r="D17" s="18" t="s">
        <v>243</v>
      </c>
      <c r="E17" s="18" t="s">
        <v>632</v>
      </c>
      <c r="F17" s="18" t="s">
        <v>153</v>
      </c>
      <c r="G17" s="23" t="s">
        <v>24</v>
      </c>
      <c r="H17" s="24" t="s">
        <v>25</v>
      </c>
      <c r="I17" s="24" t="s">
        <v>25</v>
      </c>
      <c r="J17" s="19"/>
      <c r="K17" s="19" t="str">
        <f>"160,0"</f>
        <v>160,0</v>
      </c>
      <c r="L17" s="19" t="str">
        <f>"100,3600"</f>
        <v>100,3600</v>
      </c>
      <c r="M17" s="18" t="s">
        <v>275</v>
      </c>
    </row>
    <row r="18" spans="1:13">
      <c r="A18" s="21" t="s">
        <v>72</v>
      </c>
      <c r="B18" s="20" t="s">
        <v>273</v>
      </c>
      <c r="C18" s="20" t="s">
        <v>276</v>
      </c>
      <c r="D18" s="20" t="s">
        <v>243</v>
      </c>
      <c r="E18" s="20" t="s">
        <v>634</v>
      </c>
      <c r="F18" s="20" t="s">
        <v>153</v>
      </c>
      <c r="G18" s="26" t="s">
        <v>24</v>
      </c>
      <c r="H18" s="25" t="s">
        <v>25</v>
      </c>
      <c r="I18" s="25" t="s">
        <v>25</v>
      </c>
      <c r="J18" s="21"/>
      <c r="K18" s="21" t="str">
        <f>"160,0"</f>
        <v>160,0</v>
      </c>
      <c r="L18" s="21" t="str">
        <f>"103,4712"</f>
        <v>103,4712</v>
      </c>
      <c r="M18" s="20" t="s">
        <v>275</v>
      </c>
    </row>
    <row r="19" spans="1:13">
      <c r="B19" s="5" t="s">
        <v>73</v>
      </c>
    </row>
    <row r="20" spans="1:13" ht="16">
      <c r="A20" s="53" t="s">
        <v>26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3">
      <c r="A21" s="17" t="s">
        <v>72</v>
      </c>
      <c r="B21" s="16" t="s">
        <v>277</v>
      </c>
      <c r="C21" s="16" t="s">
        <v>605</v>
      </c>
      <c r="D21" s="16" t="s">
        <v>278</v>
      </c>
      <c r="E21" s="16" t="s">
        <v>638</v>
      </c>
      <c r="F21" s="16" t="s">
        <v>16</v>
      </c>
      <c r="G21" s="22" t="s">
        <v>23</v>
      </c>
      <c r="H21" s="27" t="s">
        <v>24</v>
      </c>
      <c r="I21" s="27" t="s">
        <v>24</v>
      </c>
      <c r="J21" s="17"/>
      <c r="K21" s="17" t="str">
        <f>"150,0"</f>
        <v>150,0</v>
      </c>
      <c r="L21" s="17" t="str">
        <f>"89,1450"</f>
        <v>89,1450</v>
      </c>
      <c r="M21" s="16"/>
    </row>
    <row r="22" spans="1:13">
      <c r="A22" s="21" t="s">
        <v>72</v>
      </c>
      <c r="B22" s="20" t="s">
        <v>279</v>
      </c>
      <c r="C22" s="20" t="s">
        <v>280</v>
      </c>
      <c r="D22" s="20" t="s">
        <v>281</v>
      </c>
      <c r="E22" s="20" t="s">
        <v>634</v>
      </c>
      <c r="F22" s="20" t="s">
        <v>153</v>
      </c>
      <c r="G22" s="26" t="s">
        <v>33</v>
      </c>
      <c r="H22" s="26" t="s">
        <v>56</v>
      </c>
      <c r="I22" s="25" t="s">
        <v>57</v>
      </c>
      <c r="J22" s="21"/>
      <c r="K22" s="21" t="str">
        <f>"190,0"</f>
        <v>190,0</v>
      </c>
      <c r="L22" s="21" t="str">
        <f>"120,2232"</f>
        <v>120,2232</v>
      </c>
      <c r="M22" s="20"/>
    </row>
    <row r="23" spans="1:13">
      <c r="B23" s="5" t="s">
        <v>73</v>
      </c>
    </row>
    <row r="24" spans="1:13" ht="16">
      <c r="A24" s="53" t="s">
        <v>35</v>
      </c>
      <c r="B24" s="53"/>
      <c r="C24" s="53"/>
      <c r="D24" s="53"/>
      <c r="E24" s="53"/>
      <c r="F24" s="53"/>
      <c r="G24" s="53"/>
      <c r="H24" s="53"/>
      <c r="I24" s="53"/>
      <c r="J24" s="53"/>
    </row>
    <row r="25" spans="1:13">
      <c r="A25" s="17" t="s">
        <v>72</v>
      </c>
      <c r="B25" s="16" t="s">
        <v>36</v>
      </c>
      <c r="C25" s="16" t="s">
        <v>37</v>
      </c>
      <c r="D25" s="16" t="s">
        <v>38</v>
      </c>
      <c r="E25" s="16" t="s">
        <v>632</v>
      </c>
      <c r="F25" s="16" t="s">
        <v>39</v>
      </c>
      <c r="G25" s="22" t="s">
        <v>43</v>
      </c>
      <c r="H25" s="27" t="s">
        <v>44</v>
      </c>
      <c r="I25" s="22" t="s">
        <v>44</v>
      </c>
      <c r="J25" s="17"/>
      <c r="K25" s="17" t="str">
        <f>"217,5"</f>
        <v>217,5</v>
      </c>
      <c r="L25" s="17" t="str">
        <f>"124,3230"</f>
        <v>124,3230</v>
      </c>
      <c r="M25" s="16" t="s">
        <v>48</v>
      </c>
    </row>
    <row r="26" spans="1:13">
      <c r="A26" s="19" t="s">
        <v>215</v>
      </c>
      <c r="B26" s="18" t="s">
        <v>282</v>
      </c>
      <c r="C26" s="18" t="s">
        <v>283</v>
      </c>
      <c r="D26" s="18" t="s">
        <v>284</v>
      </c>
      <c r="E26" s="18" t="s">
        <v>632</v>
      </c>
      <c r="F26" s="18" t="s">
        <v>285</v>
      </c>
      <c r="G26" s="23" t="s">
        <v>286</v>
      </c>
      <c r="H26" s="24" t="s">
        <v>56</v>
      </c>
      <c r="I26" s="24" t="s">
        <v>56</v>
      </c>
      <c r="J26" s="19"/>
      <c r="K26" s="19" t="str">
        <f>"182,5"</f>
        <v>182,5</v>
      </c>
      <c r="L26" s="19" t="str">
        <f>"102,8114"</f>
        <v>102,8114</v>
      </c>
      <c r="M26" s="18" t="s">
        <v>559</v>
      </c>
    </row>
    <row r="27" spans="1:13">
      <c r="A27" s="21" t="s">
        <v>72</v>
      </c>
      <c r="B27" s="20" t="s">
        <v>282</v>
      </c>
      <c r="C27" s="20" t="s">
        <v>287</v>
      </c>
      <c r="D27" s="20" t="s">
        <v>284</v>
      </c>
      <c r="E27" s="20" t="s">
        <v>634</v>
      </c>
      <c r="F27" s="20" t="s">
        <v>285</v>
      </c>
      <c r="G27" s="26" t="s">
        <v>286</v>
      </c>
      <c r="H27" s="25" t="s">
        <v>56</v>
      </c>
      <c r="I27" s="25" t="s">
        <v>56</v>
      </c>
      <c r="J27" s="21"/>
      <c r="K27" s="21" t="str">
        <f>"182,5"</f>
        <v>182,5</v>
      </c>
      <c r="L27" s="21" t="str">
        <f>"103,8395"</f>
        <v>103,8395</v>
      </c>
      <c r="M27" s="20" t="s">
        <v>559</v>
      </c>
    </row>
    <row r="28" spans="1:13">
      <c r="B28" s="5" t="s">
        <v>73</v>
      </c>
    </row>
    <row r="29" spans="1:13" ht="16">
      <c r="A29" s="53" t="s">
        <v>253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3">
      <c r="A30" s="8" t="s">
        <v>72</v>
      </c>
      <c r="B30" s="7" t="s">
        <v>288</v>
      </c>
      <c r="C30" s="7" t="s">
        <v>289</v>
      </c>
      <c r="D30" s="7" t="s">
        <v>290</v>
      </c>
      <c r="E30" s="7" t="s">
        <v>632</v>
      </c>
      <c r="F30" s="7" t="s">
        <v>153</v>
      </c>
      <c r="G30" s="14" t="s">
        <v>140</v>
      </c>
      <c r="H30" s="15" t="s">
        <v>57</v>
      </c>
      <c r="I30" s="15" t="s">
        <v>57</v>
      </c>
      <c r="J30" s="8"/>
      <c r="K30" s="8" t="str">
        <f>"185,0"</f>
        <v>185,0</v>
      </c>
      <c r="L30" s="8" t="str">
        <f>"102,1200"</f>
        <v>102,1200</v>
      </c>
      <c r="M30" s="7" t="s">
        <v>291</v>
      </c>
    </row>
    <row r="31" spans="1:13">
      <c r="B31" s="5" t="s">
        <v>73</v>
      </c>
    </row>
    <row r="32" spans="1:13" ht="16">
      <c r="A32" s="53" t="s">
        <v>49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3">
      <c r="A33" s="17" t="s">
        <v>72</v>
      </c>
      <c r="B33" s="16" t="s">
        <v>292</v>
      </c>
      <c r="C33" s="16" t="s">
        <v>293</v>
      </c>
      <c r="D33" s="16" t="s">
        <v>294</v>
      </c>
      <c r="E33" s="16" t="s">
        <v>632</v>
      </c>
      <c r="F33" s="16" t="s">
        <v>136</v>
      </c>
      <c r="G33" s="22" t="s">
        <v>179</v>
      </c>
      <c r="H33" s="22" t="s">
        <v>163</v>
      </c>
      <c r="I33" s="22" t="s">
        <v>171</v>
      </c>
      <c r="J33" s="17"/>
      <c r="K33" s="17" t="str">
        <f>"222,5"</f>
        <v>222,5</v>
      </c>
      <c r="L33" s="17" t="str">
        <f>"120,9132"</f>
        <v>120,9132</v>
      </c>
      <c r="M33" s="16"/>
    </row>
    <row r="34" spans="1:13">
      <c r="A34" s="21" t="s">
        <v>215</v>
      </c>
      <c r="B34" s="20" t="s">
        <v>295</v>
      </c>
      <c r="C34" s="20" t="s">
        <v>296</v>
      </c>
      <c r="D34" s="20" t="s">
        <v>297</v>
      </c>
      <c r="E34" s="20" t="s">
        <v>632</v>
      </c>
      <c r="F34" s="20" t="s">
        <v>16</v>
      </c>
      <c r="G34" s="26" t="s">
        <v>179</v>
      </c>
      <c r="H34" s="26" t="s">
        <v>163</v>
      </c>
      <c r="I34" s="25" t="s">
        <v>171</v>
      </c>
      <c r="J34" s="21"/>
      <c r="K34" s="21" t="str">
        <f>"215,0"</f>
        <v>215,0</v>
      </c>
      <c r="L34" s="21" t="str">
        <f>"114,2585"</f>
        <v>114,2585</v>
      </c>
      <c r="M34" s="20"/>
    </row>
    <row r="35" spans="1:13">
      <c r="B35" s="5" t="s">
        <v>73</v>
      </c>
    </row>
    <row r="37" spans="1:13">
      <c r="B37" s="5" t="s">
        <v>73</v>
      </c>
    </row>
    <row r="38" spans="1:13" ht="18">
      <c r="B38" s="9" t="s">
        <v>59</v>
      </c>
      <c r="C38" s="9"/>
    </row>
    <row r="39" spans="1:13" ht="16">
      <c r="B39" s="10" t="s">
        <v>68</v>
      </c>
      <c r="C39" s="10"/>
    </row>
    <row r="40" spans="1:13" ht="14">
      <c r="B40" s="11"/>
      <c r="C40" s="12" t="s">
        <v>61</v>
      </c>
    </row>
    <row r="41" spans="1:13" ht="14">
      <c r="A41" s="6"/>
      <c r="B41" s="13" t="s">
        <v>62</v>
      </c>
      <c r="C41" s="13" t="s">
        <v>63</v>
      </c>
      <c r="D41" s="13" t="s">
        <v>64</v>
      </c>
      <c r="E41" s="13" t="s">
        <v>298</v>
      </c>
      <c r="F41" s="13" t="s">
        <v>66</v>
      </c>
    </row>
    <row r="42" spans="1:13">
      <c r="A42" s="6"/>
      <c r="B42" s="5" t="s">
        <v>36</v>
      </c>
      <c r="C42" s="5" t="s">
        <v>61</v>
      </c>
      <c r="D42" s="6" t="s">
        <v>69</v>
      </c>
      <c r="E42" s="6" t="s">
        <v>44</v>
      </c>
      <c r="F42" s="6" t="s">
        <v>299</v>
      </c>
    </row>
    <row r="43" spans="1:13">
      <c r="A43" s="6"/>
      <c r="B43" s="5" t="s">
        <v>292</v>
      </c>
      <c r="C43" s="5" t="s">
        <v>61</v>
      </c>
      <c r="D43" s="6" t="s">
        <v>70</v>
      </c>
      <c r="E43" s="6" t="s">
        <v>171</v>
      </c>
      <c r="F43" s="6" t="s">
        <v>300</v>
      </c>
    </row>
    <row r="44" spans="1:13">
      <c r="A44" s="6"/>
      <c r="B44" s="5" t="s">
        <v>295</v>
      </c>
      <c r="C44" s="5" t="s">
        <v>61</v>
      </c>
      <c r="D44" s="6" t="s">
        <v>70</v>
      </c>
      <c r="E44" s="6" t="s">
        <v>163</v>
      </c>
      <c r="F44" s="6" t="s">
        <v>301</v>
      </c>
    </row>
    <row r="45" spans="1:13">
      <c r="B45" s="5" t="s">
        <v>73</v>
      </c>
    </row>
  </sheetData>
  <mergeCells count="19">
    <mergeCell ref="A32:J32"/>
    <mergeCell ref="B3:B4"/>
    <mergeCell ref="A8:J8"/>
    <mergeCell ref="A11:J11"/>
    <mergeCell ref="A15:J15"/>
    <mergeCell ref="A20:J20"/>
    <mergeCell ref="A24:J24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40" t="s">
        <v>579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4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5"/>
      <c r="L4" s="51"/>
      <c r="M4" s="57"/>
    </row>
    <row r="5" spans="1:13" ht="16">
      <c r="A5" s="58" t="s">
        <v>150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481</v>
      </c>
      <c r="C6" s="7" t="s">
        <v>482</v>
      </c>
      <c r="D6" s="7" t="s">
        <v>483</v>
      </c>
      <c r="E6" s="7" t="s">
        <v>632</v>
      </c>
      <c r="F6" s="7" t="s">
        <v>153</v>
      </c>
      <c r="G6" s="14" t="s">
        <v>88</v>
      </c>
      <c r="H6" s="15" t="s">
        <v>21</v>
      </c>
      <c r="I6" s="15" t="s">
        <v>91</v>
      </c>
      <c r="J6" s="8"/>
      <c r="K6" s="33" t="str">
        <f>"85,0"</f>
        <v>85,0</v>
      </c>
      <c r="L6" s="8" t="str">
        <f>"76,0325"</f>
        <v>76,0325</v>
      </c>
      <c r="M6" s="28" t="s">
        <v>561</v>
      </c>
    </row>
    <row r="7" spans="1:13">
      <c r="B7" s="5" t="s">
        <v>73</v>
      </c>
    </row>
    <row r="8" spans="1:13" ht="16">
      <c r="A8" s="53" t="s">
        <v>125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7" t="s">
        <v>72</v>
      </c>
      <c r="B9" s="16" t="s">
        <v>484</v>
      </c>
      <c r="C9" s="16" t="s">
        <v>485</v>
      </c>
      <c r="D9" s="16" t="s">
        <v>486</v>
      </c>
      <c r="E9" s="16" t="s">
        <v>632</v>
      </c>
      <c r="F9" s="16" t="s">
        <v>16</v>
      </c>
      <c r="G9" s="22" t="s">
        <v>144</v>
      </c>
      <c r="H9" s="27" t="s">
        <v>487</v>
      </c>
      <c r="I9" s="27" t="s">
        <v>487</v>
      </c>
      <c r="J9" s="17"/>
      <c r="K9" s="34" t="str">
        <f>"165,0"</f>
        <v>165,0</v>
      </c>
      <c r="L9" s="17" t="str">
        <f>"101,4585"</f>
        <v>101,4585</v>
      </c>
      <c r="M9" s="30" t="s">
        <v>562</v>
      </c>
    </row>
    <row r="10" spans="1:13">
      <c r="A10" s="21" t="s">
        <v>214</v>
      </c>
      <c r="B10" s="20" t="s">
        <v>488</v>
      </c>
      <c r="C10" s="20" t="s">
        <v>489</v>
      </c>
      <c r="D10" s="20" t="s">
        <v>182</v>
      </c>
      <c r="E10" s="20" t="s">
        <v>632</v>
      </c>
      <c r="F10" s="20" t="s">
        <v>413</v>
      </c>
      <c r="G10" s="25" t="s">
        <v>144</v>
      </c>
      <c r="H10" s="25" t="s">
        <v>144</v>
      </c>
      <c r="I10" s="25" t="s">
        <v>144</v>
      </c>
      <c r="J10" s="21"/>
      <c r="K10" s="36">
        <v>0</v>
      </c>
      <c r="L10" s="21" t="str">
        <f>"0,0000"</f>
        <v>0,0000</v>
      </c>
      <c r="M10" s="20"/>
    </row>
    <row r="11" spans="1:13">
      <c r="B11" s="5" t="s">
        <v>73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40" t="s">
        <v>580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26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466</v>
      </c>
      <c r="C6" s="7" t="s">
        <v>467</v>
      </c>
      <c r="D6" s="7" t="s">
        <v>468</v>
      </c>
      <c r="E6" s="7" t="s">
        <v>632</v>
      </c>
      <c r="F6" s="7" t="s">
        <v>469</v>
      </c>
      <c r="G6" s="14" t="s">
        <v>470</v>
      </c>
      <c r="H6" s="14" t="s">
        <v>471</v>
      </c>
      <c r="I6" s="15" t="s">
        <v>472</v>
      </c>
      <c r="J6" s="8"/>
      <c r="K6" s="8" t="str">
        <f>"295,0"</f>
        <v>295,0</v>
      </c>
      <c r="L6" s="8" t="str">
        <f>"171,7048"</f>
        <v>171,7048</v>
      </c>
      <c r="M6" s="7"/>
    </row>
    <row r="7" spans="1:13">
      <c r="B7" s="5" t="s">
        <v>73</v>
      </c>
    </row>
    <row r="8" spans="1:13" ht="16">
      <c r="A8" s="53" t="s">
        <v>253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72</v>
      </c>
      <c r="B9" s="7" t="s">
        <v>473</v>
      </c>
      <c r="C9" s="7" t="s">
        <v>474</v>
      </c>
      <c r="D9" s="7" t="s">
        <v>475</v>
      </c>
      <c r="E9" s="7" t="s">
        <v>632</v>
      </c>
      <c r="F9" s="7" t="s">
        <v>476</v>
      </c>
      <c r="G9" s="15" t="s">
        <v>477</v>
      </c>
      <c r="H9" s="14" t="s">
        <v>478</v>
      </c>
      <c r="I9" s="15" t="s">
        <v>479</v>
      </c>
      <c r="J9" s="8"/>
      <c r="K9" s="8" t="str">
        <f>"330,0"</f>
        <v>330,0</v>
      </c>
      <c r="L9" s="8" t="str">
        <f>"182,7705"</f>
        <v>182,7705</v>
      </c>
      <c r="M9" s="7" t="s">
        <v>480</v>
      </c>
    </row>
    <row r="10" spans="1:13">
      <c r="B10" s="5" t="s">
        <v>73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2.33203125" style="6" customWidth="1"/>
    <col min="12" max="12" width="8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40" t="s">
        <v>581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26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499</v>
      </c>
      <c r="C6" s="7" t="s">
        <v>500</v>
      </c>
      <c r="D6" s="7" t="s">
        <v>449</v>
      </c>
      <c r="E6" s="7" t="s">
        <v>632</v>
      </c>
      <c r="F6" s="7" t="s">
        <v>153</v>
      </c>
      <c r="G6" s="14" t="s">
        <v>163</v>
      </c>
      <c r="H6" s="15" t="s">
        <v>54</v>
      </c>
      <c r="I6" s="15" t="s">
        <v>54</v>
      </c>
      <c r="J6" s="8"/>
      <c r="K6" s="8" t="str">
        <f>"215,0"</f>
        <v>215,0</v>
      </c>
      <c r="L6" s="8" t="str">
        <f>"125,3558"</f>
        <v>125,3558</v>
      </c>
      <c r="M6" s="28" t="s">
        <v>560</v>
      </c>
    </row>
    <row r="7" spans="1:13">
      <c r="B7" s="5" t="s">
        <v>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"/>
  <sheetViews>
    <sheetView workbookViewId="0">
      <selection activeCell="F3" sqref="F3:F4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3.1640625" style="6" customWidth="1"/>
    <col min="12" max="12" width="10.6640625" style="6" customWidth="1"/>
    <col min="13" max="13" width="23.1640625" style="5" customWidth="1"/>
    <col min="14" max="16384" width="9.1640625" style="3"/>
  </cols>
  <sheetData>
    <row r="1" spans="1:13" s="2" customFormat="1" ht="29" customHeight="1">
      <c r="A1" s="40" t="s">
        <v>582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160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490</v>
      </c>
      <c r="C6" s="7" t="s">
        <v>491</v>
      </c>
      <c r="D6" s="7" t="s">
        <v>492</v>
      </c>
      <c r="E6" s="7" t="s">
        <v>632</v>
      </c>
      <c r="F6" s="7" t="s">
        <v>153</v>
      </c>
      <c r="G6" s="14" t="s">
        <v>54</v>
      </c>
      <c r="H6" s="15" t="s">
        <v>55</v>
      </c>
      <c r="I6" s="15" t="s">
        <v>55</v>
      </c>
      <c r="J6" s="8"/>
      <c r="K6" s="8" t="str">
        <f>"230,0"</f>
        <v>230,0</v>
      </c>
      <c r="L6" s="8" t="str">
        <f>"149,3275"</f>
        <v>149,3275</v>
      </c>
      <c r="M6" s="7" t="s">
        <v>291</v>
      </c>
    </row>
    <row r="7" spans="1:13">
      <c r="B7" s="5" t="s">
        <v>73</v>
      </c>
    </row>
    <row r="8" spans="1:13" ht="16">
      <c r="A8" s="53" t="s">
        <v>35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72</v>
      </c>
      <c r="B9" s="7" t="s">
        <v>493</v>
      </c>
      <c r="C9" s="7" t="s">
        <v>494</v>
      </c>
      <c r="D9" s="7" t="s">
        <v>495</v>
      </c>
      <c r="E9" s="7" t="s">
        <v>632</v>
      </c>
      <c r="F9" s="7" t="s">
        <v>496</v>
      </c>
      <c r="G9" s="14" t="s">
        <v>478</v>
      </c>
      <c r="H9" s="14" t="s">
        <v>497</v>
      </c>
      <c r="I9" s="15" t="s">
        <v>479</v>
      </c>
      <c r="J9" s="8"/>
      <c r="K9" s="8" t="str">
        <f>"345,0"</f>
        <v>345,0</v>
      </c>
      <c r="L9" s="8" t="str">
        <f>"198,1680"</f>
        <v>198,1680</v>
      </c>
      <c r="M9" s="7" t="s">
        <v>498</v>
      </c>
    </row>
    <row r="10" spans="1:13">
      <c r="B10" s="5" t="s">
        <v>73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5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2.5" style="6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40" t="s">
        <v>619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11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120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7" t="s">
        <v>72</v>
      </c>
      <c r="B6" s="16" t="s">
        <v>323</v>
      </c>
      <c r="C6" s="16" t="s">
        <v>593</v>
      </c>
      <c r="D6" s="16" t="s">
        <v>324</v>
      </c>
      <c r="E6" s="16" t="s">
        <v>635</v>
      </c>
      <c r="F6" s="16" t="s">
        <v>16</v>
      </c>
      <c r="G6" s="22" t="s">
        <v>19</v>
      </c>
      <c r="H6" s="27" t="s">
        <v>23</v>
      </c>
      <c r="I6" s="27" t="s">
        <v>138</v>
      </c>
      <c r="J6" s="17"/>
      <c r="K6" s="17" t="str">
        <f>"140,0"</f>
        <v>140,0</v>
      </c>
      <c r="L6" s="17" t="str">
        <f>"140,1400"</f>
        <v>140,1400</v>
      </c>
      <c r="M6" s="16"/>
    </row>
    <row r="7" spans="1:13">
      <c r="A7" s="21" t="s">
        <v>72</v>
      </c>
      <c r="B7" s="20" t="s">
        <v>437</v>
      </c>
      <c r="C7" s="20" t="s">
        <v>438</v>
      </c>
      <c r="D7" s="20" t="s">
        <v>439</v>
      </c>
      <c r="E7" s="20" t="s">
        <v>632</v>
      </c>
      <c r="F7" s="20" t="s">
        <v>16</v>
      </c>
      <c r="G7" s="26" t="s">
        <v>22</v>
      </c>
      <c r="H7" s="26" t="s">
        <v>31</v>
      </c>
      <c r="I7" s="26" t="s">
        <v>114</v>
      </c>
      <c r="J7" s="21"/>
      <c r="K7" s="21" t="str">
        <f>"115,0"</f>
        <v>115,0</v>
      </c>
      <c r="L7" s="21" t="str">
        <f>"115,5865"</f>
        <v>115,5865</v>
      </c>
      <c r="M7" s="20" t="s">
        <v>440</v>
      </c>
    </row>
    <row r="8" spans="1:13">
      <c r="B8" s="5" t="s">
        <v>73</v>
      </c>
    </row>
    <row r="9" spans="1:13" ht="16">
      <c r="A9" s="53" t="s">
        <v>160</v>
      </c>
      <c r="B9" s="53"/>
      <c r="C9" s="53"/>
      <c r="D9" s="53"/>
      <c r="E9" s="53"/>
      <c r="F9" s="53"/>
      <c r="G9" s="53"/>
      <c r="H9" s="53"/>
      <c r="I9" s="53"/>
      <c r="J9" s="53"/>
    </row>
    <row r="10" spans="1:13">
      <c r="A10" s="8" t="s">
        <v>72</v>
      </c>
      <c r="B10" s="7" t="s">
        <v>235</v>
      </c>
      <c r="C10" s="7" t="s">
        <v>236</v>
      </c>
      <c r="D10" s="7" t="s">
        <v>237</v>
      </c>
      <c r="E10" s="7" t="s">
        <v>634</v>
      </c>
      <c r="F10" s="7" t="s">
        <v>53</v>
      </c>
      <c r="G10" s="14" t="s">
        <v>19</v>
      </c>
      <c r="H10" s="14" t="s">
        <v>132</v>
      </c>
      <c r="I10" s="14" t="s">
        <v>24</v>
      </c>
      <c r="J10" s="8"/>
      <c r="K10" s="8" t="str">
        <f>"160,0"</f>
        <v>160,0</v>
      </c>
      <c r="L10" s="8" t="str">
        <f>"133,0650"</f>
        <v>133,0650</v>
      </c>
      <c r="M10" s="28" t="s">
        <v>569</v>
      </c>
    </row>
    <row r="11" spans="1:13">
      <c r="B11" s="5" t="s">
        <v>73</v>
      </c>
    </row>
    <row r="12" spans="1:13" ht="16">
      <c r="A12" s="53" t="s">
        <v>12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3">
      <c r="A13" s="8" t="s">
        <v>72</v>
      </c>
      <c r="B13" s="7" t="s">
        <v>146</v>
      </c>
      <c r="C13" s="7" t="s">
        <v>147</v>
      </c>
      <c r="D13" s="7" t="s">
        <v>148</v>
      </c>
      <c r="E13" s="7" t="s">
        <v>632</v>
      </c>
      <c r="F13" s="7" t="s">
        <v>16</v>
      </c>
      <c r="G13" s="14" t="s">
        <v>131</v>
      </c>
      <c r="H13" s="15" t="s">
        <v>32</v>
      </c>
      <c r="I13" s="14" t="s">
        <v>23</v>
      </c>
      <c r="J13" s="8"/>
      <c r="K13" s="8" t="str">
        <f>"150,0"</f>
        <v>150,0</v>
      </c>
      <c r="L13" s="8" t="str">
        <f>"112,6875"</f>
        <v>112,6875</v>
      </c>
      <c r="M13" s="7" t="s">
        <v>149</v>
      </c>
    </row>
    <row r="14" spans="1:13">
      <c r="B14" s="5" t="s">
        <v>73</v>
      </c>
    </row>
    <row r="15" spans="1:13" ht="16">
      <c r="A15" s="53" t="s">
        <v>150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3">
      <c r="A16" s="17" t="s">
        <v>72</v>
      </c>
      <c r="B16" s="16" t="s">
        <v>151</v>
      </c>
      <c r="C16" s="16" t="s">
        <v>590</v>
      </c>
      <c r="D16" s="16" t="s">
        <v>152</v>
      </c>
      <c r="E16" s="16" t="s">
        <v>636</v>
      </c>
      <c r="F16" s="16" t="s">
        <v>153</v>
      </c>
      <c r="G16" s="22" t="s">
        <v>21</v>
      </c>
      <c r="H16" s="22" t="s">
        <v>22</v>
      </c>
      <c r="I16" s="27" t="s">
        <v>372</v>
      </c>
      <c r="J16" s="17"/>
      <c r="K16" s="17" t="str">
        <f>"100,0"</f>
        <v>100,0</v>
      </c>
      <c r="L16" s="17" t="str">
        <f>"71,2500"</f>
        <v>71,2500</v>
      </c>
      <c r="M16" s="16" t="s">
        <v>565</v>
      </c>
    </row>
    <row r="17" spans="1:13">
      <c r="A17" s="19" t="s">
        <v>72</v>
      </c>
      <c r="B17" s="18" t="s">
        <v>441</v>
      </c>
      <c r="C17" s="18" t="s">
        <v>442</v>
      </c>
      <c r="D17" s="18" t="s">
        <v>443</v>
      </c>
      <c r="E17" s="18" t="s">
        <v>632</v>
      </c>
      <c r="F17" s="18" t="s">
        <v>554</v>
      </c>
      <c r="G17" s="23" t="s">
        <v>24</v>
      </c>
      <c r="H17" s="23" t="s">
        <v>25</v>
      </c>
      <c r="I17" s="23" t="s">
        <v>286</v>
      </c>
      <c r="J17" s="19"/>
      <c r="K17" s="19" t="str">
        <f>"182,5"</f>
        <v>182,5</v>
      </c>
      <c r="L17" s="19" t="str">
        <f>"133,9459"</f>
        <v>133,9459</v>
      </c>
      <c r="M17" s="18" t="s">
        <v>260</v>
      </c>
    </row>
    <row r="18" spans="1:13">
      <c r="A18" s="21" t="s">
        <v>215</v>
      </c>
      <c r="B18" s="20" t="s">
        <v>444</v>
      </c>
      <c r="C18" s="20" t="s">
        <v>445</v>
      </c>
      <c r="D18" s="20" t="s">
        <v>446</v>
      </c>
      <c r="E18" s="20" t="s">
        <v>632</v>
      </c>
      <c r="F18" s="20" t="s">
        <v>16</v>
      </c>
      <c r="G18" s="26" t="s">
        <v>244</v>
      </c>
      <c r="H18" s="26" t="s">
        <v>19</v>
      </c>
      <c r="I18" s="26" t="s">
        <v>137</v>
      </c>
      <c r="J18" s="21"/>
      <c r="K18" s="21" t="str">
        <f>"147,5"</f>
        <v>147,5</v>
      </c>
      <c r="L18" s="21" t="str">
        <f>"103,1025"</f>
        <v>103,1025</v>
      </c>
      <c r="M18" s="29" t="s">
        <v>568</v>
      </c>
    </row>
    <row r="19" spans="1:13">
      <c r="B19" s="5" t="s">
        <v>73</v>
      </c>
    </row>
    <row r="20" spans="1:13" ht="16">
      <c r="A20" s="53" t="s">
        <v>125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3">
      <c r="A21" s="8" t="s">
        <v>72</v>
      </c>
      <c r="B21" s="7" t="s">
        <v>245</v>
      </c>
      <c r="C21" s="7" t="s">
        <v>246</v>
      </c>
      <c r="D21" s="7" t="s">
        <v>247</v>
      </c>
      <c r="E21" s="7" t="s">
        <v>637</v>
      </c>
      <c r="F21" s="7" t="s">
        <v>53</v>
      </c>
      <c r="G21" s="14" t="s">
        <v>179</v>
      </c>
      <c r="H21" s="15" t="s">
        <v>248</v>
      </c>
      <c r="I21" s="8"/>
      <c r="J21" s="8"/>
      <c r="K21" s="8" t="str">
        <f>"205,0"</f>
        <v>205,0</v>
      </c>
      <c r="L21" s="8" t="str">
        <f>"151,4858"</f>
        <v>151,4858</v>
      </c>
      <c r="M21" s="7"/>
    </row>
    <row r="22" spans="1:13">
      <c r="B22" s="5" t="s">
        <v>73</v>
      </c>
    </row>
    <row r="23" spans="1:13" ht="16">
      <c r="A23" s="53" t="s">
        <v>26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3">
      <c r="A24" s="8" t="s">
        <v>72</v>
      </c>
      <c r="B24" s="7" t="s">
        <v>447</v>
      </c>
      <c r="C24" s="7" t="s">
        <v>448</v>
      </c>
      <c r="D24" s="7" t="s">
        <v>449</v>
      </c>
      <c r="E24" s="7" t="s">
        <v>632</v>
      </c>
      <c r="F24" s="7" t="s">
        <v>16</v>
      </c>
      <c r="G24" s="14" t="s">
        <v>55</v>
      </c>
      <c r="H24" s="14" t="s">
        <v>450</v>
      </c>
      <c r="I24" s="14" t="s">
        <v>46</v>
      </c>
      <c r="J24" s="8"/>
      <c r="K24" s="8" t="str">
        <f>"290,0"</f>
        <v>290,0</v>
      </c>
      <c r="L24" s="8" t="str">
        <f>"169,0845"</f>
        <v>169,0845</v>
      </c>
      <c r="M24" s="7" t="s">
        <v>451</v>
      </c>
    </row>
    <row r="25" spans="1:13">
      <c r="B25" s="5" t="s">
        <v>73</v>
      </c>
    </row>
  </sheetData>
  <mergeCells count="17">
    <mergeCell ref="A23:J23"/>
    <mergeCell ref="A5:J5"/>
    <mergeCell ref="A9:J9"/>
    <mergeCell ref="A12:J12"/>
    <mergeCell ref="A15:J15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3.83203125" style="32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40" t="s">
        <v>620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11</v>
      </c>
      <c r="H3" s="52"/>
      <c r="I3" s="52"/>
      <c r="J3" s="52"/>
      <c r="K3" s="54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5"/>
      <c r="L4" s="51"/>
      <c r="M4" s="57"/>
    </row>
    <row r="5" spans="1:13" ht="16">
      <c r="A5" s="58" t="s">
        <v>26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17" t="s">
        <v>72</v>
      </c>
      <c r="B6" s="16" t="s">
        <v>217</v>
      </c>
      <c r="C6" s="16" t="s">
        <v>218</v>
      </c>
      <c r="D6" s="16" t="s">
        <v>219</v>
      </c>
      <c r="E6" s="16" t="s">
        <v>632</v>
      </c>
      <c r="F6" s="16" t="s">
        <v>153</v>
      </c>
      <c r="G6" s="22" t="s">
        <v>42</v>
      </c>
      <c r="H6" s="22" t="s">
        <v>45</v>
      </c>
      <c r="I6" s="27" t="s">
        <v>221</v>
      </c>
      <c r="J6" s="17"/>
      <c r="K6" s="34" t="str">
        <f>"270,0"</f>
        <v>270,0</v>
      </c>
      <c r="L6" s="17" t="str">
        <f>"157,9635"</f>
        <v>157,9635</v>
      </c>
      <c r="M6" s="16"/>
    </row>
    <row r="7" spans="1:13">
      <c r="A7" s="21" t="s">
        <v>214</v>
      </c>
      <c r="B7" s="20" t="s">
        <v>222</v>
      </c>
      <c r="C7" s="20" t="s">
        <v>223</v>
      </c>
      <c r="D7" s="20" t="s">
        <v>224</v>
      </c>
      <c r="E7" s="20" t="s">
        <v>632</v>
      </c>
      <c r="F7" s="29" t="s">
        <v>570</v>
      </c>
      <c r="G7" s="25" t="s">
        <v>55</v>
      </c>
      <c r="H7" s="25" t="s">
        <v>55</v>
      </c>
      <c r="I7" s="25" t="s">
        <v>55</v>
      </c>
      <c r="J7" s="21"/>
      <c r="K7" s="36">
        <v>0</v>
      </c>
      <c r="L7" s="21" t="str">
        <f>"0,0000"</f>
        <v>0,0000</v>
      </c>
      <c r="M7" s="20" t="s">
        <v>48</v>
      </c>
    </row>
    <row r="8" spans="1:13">
      <c r="B8" s="5" t="s">
        <v>73</v>
      </c>
    </row>
    <row r="9" spans="1:13" ht="16">
      <c r="A9" s="53" t="s">
        <v>35</v>
      </c>
      <c r="B9" s="53"/>
      <c r="C9" s="53"/>
      <c r="D9" s="53"/>
      <c r="E9" s="53"/>
      <c r="F9" s="53"/>
      <c r="G9" s="53"/>
      <c r="H9" s="53"/>
      <c r="I9" s="53"/>
      <c r="J9" s="53"/>
    </row>
    <row r="10" spans="1:13">
      <c r="A10" s="8" t="s">
        <v>72</v>
      </c>
      <c r="B10" s="7" t="s">
        <v>433</v>
      </c>
      <c r="C10" s="7" t="s">
        <v>434</v>
      </c>
      <c r="D10" s="7" t="s">
        <v>435</v>
      </c>
      <c r="E10" s="7" t="s">
        <v>632</v>
      </c>
      <c r="F10" s="7" t="s">
        <v>39</v>
      </c>
      <c r="G10" s="14" t="s">
        <v>58</v>
      </c>
      <c r="H10" s="15" t="s">
        <v>436</v>
      </c>
      <c r="I10" s="14" t="s">
        <v>436</v>
      </c>
      <c r="J10" s="8"/>
      <c r="K10" s="33" t="str">
        <f>"322,5"</f>
        <v>322,5</v>
      </c>
      <c r="L10" s="8" t="str">
        <f>"183,0026"</f>
        <v>183,0026</v>
      </c>
      <c r="M10" s="7" t="s">
        <v>567</v>
      </c>
    </row>
    <row r="11" spans="1:13">
      <c r="B11" s="5" t="s">
        <v>73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0" t="s">
        <v>583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160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546</v>
      </c>
      <c r="C6" s="7" t="s">
        <v>547</v>
      </c>
      <c r="D6" s="7" t="s">
        <v>548</v>
      </c>
      <c r="E6" s="7" t="s">
        <v>632</v>
      </c>
      <c r="F6" s="7" t="s">
        <v>549</v>
      </c>
      <c r="G6" s="14" t="s">
        <v>22</v>
      </c>
      <c r="H6" s="14" t="s">
        <v>340</v>
      </c>
      <c r="I6" s="15" t="s">
        <v>105</v>
      </c>
      <c r="J6" s="8"/>
      <c r="K6" s="8" t="str">
        <f>"102,5"</f>
        <v>102,5</v>
      </c>
      <c r="L6" s="8" t="str">
        <f>"69,8948"</f>
        <v>69,8948</v>
      </c>
      <c r="M6" s="28" t="s">
        <v>553</v>
      </c>
    </row>
    <row r="7" spans="1:13">
      <c r="B7" s="5" t="s">
        <v>73</v>
      </c>
    </row>
    <row r="8" spans="1:13" ht="16">
      <c r="A8" s="53" t="s">
        <v>125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72</v>
      </c>
      <c r="B9" s="7" t="s">
        <v>550</v>
      </c>
      <c r="C9" s="7" t="s">
        <v>551</v>
      </c>
      <c r="D9" s="7" t="s">
        <v>552</v>
      </c>
      <c r="E9" s="7" t="s">
        <v>632</v>
      </c>
      <c r="F9" s="7" t="s">
        <v>16</v>
      </c>
      <c r="G9" s="14" t="s">
        <v>118</v>
      </c>
      <c r="H9" s="14" t="s">
        <v>361</v>
      </c>
      <c r="I9" s="14" t="s">
        <v>362</v>
      </c>
      <c r="J9" s="8"/>
      <c r="K9" s="8" t="str">
        <f>"172,5"</f>
        <v>172,5</v>
      </c>
      <c r="L9" s="8" t="str">
        <f>"108,2782"</f>
        <v>108,2782</v>
      </c>
      <c r="M9" s="7" t="s">
        <v>553</v>
      </c>
    </row>
    <row r="10" spans="1:13">
      <c r="B10" s="5" t="s">
        <v>73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9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3" style="5" customWidth="1"/>
    <col min="18" max="16384" width="9.1640625" style="3"/>
  </cols>
  <sheetData>
    <row r="1" spans="1:17" s="2" customFormat="1" ht="29" customHeight="1">
      <c r="A1" s="40" t="s">
        <v>585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629</v>
      </c>
      <c r="H3" s="52"/>
      <c r="I3" s="52"/>
      <c r="J3" s="52"/>
      <c r="K3" s="52" t="s">
        <v>545</v>
      </c>
      <c r="L3" s="52"/>
      <c r="M3" s="52"/>
      <c r="N3" s="52"/>
      <c r="O3" s="52" t="s">
        <v>1</v>
      </c>
      <c r="P3" s="52" t="s">
        <v>3</v>
      </c>
      <c r="Q3" s="56" t="s">
        <v>2</v>
      </c>
    </row>
    <row r="4" spans="1:17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1"/>
      <c r="P4" s="51"/>
      <c r="Q4" s="57"/>
    </row>
    <row r="5" spans="1:17" ht="16">
      <c r="A5" s="58" t="s">
        <v>150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8" t="s">
        <v>72</v>
      </c>
      <c r="B6" s="7" t="s">
        <v>531</v>
      </c>
      <c r="C6" s="7" t="s">
        <v>532</v>
      </c>
      <c r="D6" s="7" t="s">
        <v>533</v>
      </c>
      <c r="E6" s="7" t="s">
        <v>632</v>
      </c>
      <c r="F6" s="7" t="s">
        <v>534</v>
      </c>
      <c r="G6" s="14" t="s">
        <v>116</v>
      </c>
      <c r="H6" s="14" t="s">
        <v>79</v>
      </c>
      <c r="I6" s="14" t="s">
        <v>20</v>
      </c>
      <c r="J6" s="8"/>
      <c r="K6" s="14" t="s">
        <v>104</v>
      </c>
      <c r="L6" s="14" t="s">
        <v>331</v>
      </c>
      <c r="M6" s="14" t="s">
        <v>115</v>
      </c>
      <c r="N6" s="8"/>
      <c r="O6" s="8" t="str">
        <f>"142,5"</f>
        <v>142,5</v>
      </c>
      <c r="P6" s="8" t="str">
        <f>"98,1184"</f>
        <v>98,1184</v>
      </c>
      <c r="Q6" s="28" t="s">
        <v>555</v>
      </c>
    </row>
    <row r="7" spans="1:17">
      <c r="B7" s="5" t="s">
        <v>73</v>
      </c>
    </row>
    <row r="8" spans="1:17" ht="16">
      <c r="A8" s="53" t="s">
        <v>160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17" t="s">
        <v>72</v>
      </c>
      <c r="B9" s="16" t="s">
        <v>515</v>
      </c>
      <c r="C9" s="16" t="s">
        <v>516</v>
      </c>
      <c r="D9" s="16" t="s">
        <v>517</v>
      </c>
      <c r="E9" s="16" t="s">
        <v>632</v>
      </c>
      <c r="F9" s="16" t="s">
        <v>518</v>
      </c>
      <c r="G9" s="27" t="s">
        <v>88</v>
      </c>
      <c r="H9" s="22" t="s">
        <v>88</v>
      </c>
      <c r="I9" s="27" t="s">
        <v>21</v>
      </c>
      <c r="J9" s="17"/>
      <c r="K9" s="22" t="s">
        <v>96</v>
      </c>
      <c r="L9" s="22" t="s">
        <v>97</v>
      </c>
      <c r="M9" s="27" t="s">
        <v>116</v>
      </c>
      <c r="N9" s="17"/>
      <c r="O9" s="17" t="str">
        <f>"152,5"</f>
        <v>152,5</v>
      </c>
      <c r="P9" s="17" t="str">
        <f>"100,6576"</f>
        <v>100,6576</v>
      </c>
      <c r="Q9" s="30" t="s">
        <v>556</v>
      </c>
    </row>
    <row r="10" spans="1:17">
      <c r="A10" s="19" t="s">
        <v>215</v>
      </c>
      <c r="B10" s="18" t="s">
        <v>522</v>
      </c>
      <c r="C10" s="18" t="s">
        <v>523</v>
      </c>
      <c r="D10" s="18" t="s">
        <v>524</v>
      </c>
      <c r="E10" s="18" t="s">
        <v>632</v>
      </c>
      <c r="F10" s="18" t="s">
        <v>525</v>
      </c>
      <c r="G10" s="24" t="s">
        <v>78</v>
      </c>
      <c r="H10" s="23" t="s">
        <v>78</v>
      </c>
      <c r="I10" s="23" t="s">
        <v>79</v>
      </c>
      <c r="J10" s="19"/>
      <c r="K10" s="24" t="s">
        <v>96</v>
      </c>
      <c r="L10" s="23" t="s">
        <v>96</v>
      </c>
      <c r="M10" s="24" t="s">
        <v>97</v>
      </c>
      <c r="N10" s="19"/>
      <c r="O10" s="19" t="str">
        <f>"140,0"</f>
        <v>140,0</v>
      </c>
      <c r="P10" s="19" t="str">
        <f>"91,9380"</f>
        <v>91,9380</v>
      </c>
      <c r="Q10" s="18"/>
    </row>
    <row r="11" spans="1:17">
      <c r="A11" s="21" t="s">
        <v>216</v>
      </c>
      <c r="B11" s="20" t="s">
        <v>519</v>
      </c>
      <c r="C11" s="20" t="s">
        <v>520</v>
      </c>
      <c r="D11" s="20" t="s">
        <v>521</v>
      </c>
      <c r="E11" s="20" t="s">
        <v>632</v>
      </c>
      <c r="F11" s="20" t="s">
        <v>16</v>
      </c>
      <c r="G11" s="26" t="s">
        <v>90</v>
      </c>
      <c r="H11" s="25" t="s">
        <v>96</v>
      </c>
      <c r="I11" s="25" t="s">
        <v>96</v>
      </c>
      <c r="J11" s="21"/>
      <c r="K11" s="26" t="s">
        <v>81</v>
      </c>
      <c r="L11" s="26" t="s">
        <v>90</v>
      </c>
      <c r="M11" s="26" t="s">
        <v>96</v>
      </c>
      <c r="N11" s="21"/>
      <c r="O11" s="21" t="str">
        <f>"125,0"</f>
        <v>125,0</v>
      </c>
      <c r="P11" s="21" t="str">
        <f>"83,2312"</f>
        <v>83,2312</v>
      </c>
      <c r="Q11" s="20"/>
    </row>
    <row r="12" spans="1:17">
      <c r="B12" s="5" t="s">
        <v>73</v>
      </c>
    </row>
    <row r="13" spans="1:17" ht="16">
      <c r="A13" s="53" t="s">
        <v>125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7">
      <c r="A14" s="8" t="s">
        <v>72</v>
      </c>
      <c r="B14" s="7" t="s">
        <v>535</v>
      </c>
      <c r="C14" s="7" t="s">
        <v>536</v>
      </c>
      <c r="D14" s="7" t="s">
        <v>537</v>
      </c>
      <c r="E14" s="7" t="s">
        <v>632</v>
      </c>
      <c r="F14" s="7" t="s">
        <v>16</v>
      </c>
      <c r="G14" s="15" t="s">
        <v>116</v>
      </c>
      <c r="H14" s="14" t="s">
        <v>116</v>
      </c>
      <c r="I14" s="14" t="s">
        <v>79</v>
      </c>
      <c r="J14" s="8"/>
      <c r="K14" s="14" t="s">
        <v>90</v>
      </c>
      <c r="L14" s="14" t="s">
        <v>96</v>
      </c>
      <c r="M14" s="15" t="s">
        <v>116</v>
      </c>
      <c r="N14" s="8"/>
      <c r="O14" s="8" t="str">
        <f>"140,0"</f>
        <v>140,0</v>
      </c>
      <c r="P14" s="8" t="str">
        <f>"86,6950"</f>
        <v>86,6950</v>
      </c>
      <c r="Q14" s="7"/>
    </row>
    <row r="15" spans="1:17">
      <c r="B15" s="5" t="s">
        <v>73</v>
      </c>
    </row>
    <row r="16" spans="1:17" ht="16">
      <c r="A16" s="53" t="s">
        <v>26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7">
      <c r="A17" s="8" t="s">
        <v>72</v>
      </c>
      <c r="B17" s="7" t="s">
        <v>505</v>
      </c>
      <c r="C17" s="7" t="s">
        <v>506</v>
      </c>
      <c r="D17" s="7" t="s">
        <v>507</v>
      </c>
      <c r="E17" s="7" t="s">
        <v>632</v>
      </c>
      <c r="F17" s="7" t="s">
        <v>627</v>
      </c>
      <c r="G17" s="14" t="s">
        <v>88</v>
      </c>
      <c r="H17" s="14" t="s">
        <v>102</v>
      </c>
      <c r="I17" s="15" t="s">
        <v>21</v>
      </c>
      <c r="J17" s="8"/>
      <c r="K17" s="14" t="s">
        <v>116</v>
      </c>
      <c r="L17" s="15" t="s">
        <v>78</v>
      </c>
      <c r="M17" s="15" t="s">
        <v>78</v>
      </c>
      <c r="N17" s="8"/>
      <c r="O17" s="8" t="str">
        <f>"157,5"</f>
        <v>157,5</v>
      </c>
      <c r="P17" s="8" t="str">
        <f>"92,3501"</f>
        <v>92,3501</v>
      </c>
      <c r="Q17" s="7"/>
    </row>
    <row r="18" spans="1:17">
      <c r="B18" s="5" t="s">
        <v>73</v>
      </c>
    </row>
    <row r="19" spans="1:17">
      <c r="B19" s="5" t="s">
        <v>73</v>
      </c>
    </row>
  </sheetData>
  <mergeCells count="16">
    <mergeCell ref="A8:N8"/>
    <mergeCell ref="A13:N13"/>
    <mergeCell ref="A16:N16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.83203125" style="5" customWidth="1"/>
    <col min="7" max="9" width="4.5" style="6" customWidth="1"/>
    <col min="10" max="10" width="4.83203125" style="6" customWidth="1"/>
    <col min="11" max="11" width="12.5" style="6" customWidth="1"/>
    <col min="12" max="12" width="9.6640625" style="6" customWidth="1"/>
    <col min="13" max="13" width="20" style="5" customWidth="1"/>
    <col min="14" max="16384" width="9.1640625" style="3"/>
  </cols>
  <sheetData>
    <row r="1" spans="1:13" s="2" customFormat="1" ht="29" customHeight="1">
      <c r="A1" s="40" t="s">
        <v>586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629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26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505</v>
      </c>
      <c r="C6" s="7" t="s">
        <v>506</v>
      </c>
      <c r="D6" s="7" t="s">
        <v>507</v>
      </c>
      <c r="E6" s="7" t="s">
        <v>632</v>
      </c>
      <c r="F6" s="7" t="s">
        <v>627</v>
      </c>
      <c r="G6" s="14" t="s">
        <v>88</v>
      </c>
      <c r="H6" s="14" t="s">
        <v>102</v>
      </c>
      <c r="I6" s="15" t="s">
        <v>21</v>
      </c>
      <c r="J6" s="8"/>
      <c r="K6" s="8" t="str">
        <f>"87,5"</f>
        <v>87,5</v>
      </c>
      <c r="L6" s="8" t="str">
        <f>"51,3056"</f>
        <v>51,3056</v>
      </c>
      <c r="M6" s="7"/>
    </row>
    <row r="7" spans="1:13">
      <c r="B7" s="5" t="s">
        <v>73</v>
      </c>
    </row>
    <row r="8" spans="1:13">
      <c r="B8" s="5" t="s">
        <v>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A1:U1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15.5" style="5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3.83203125" style="5" customWidth="1"/>
    <col min="22" max="16384" width="9.1640625" style="3"/>
  </cols>
  <sheetData>
    <row r="1" spans="1:21" s="2" customFormat="1" ht="29" customHeight="1">
      <c r="A1" s="40" t="s">
        <v>610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9</v>
      </c>
      <c r="H3" s="52"/>
      <c r="I3" s="52"/>
      <c r="J3" s="52"/>
      <c r="K3" s="52" t="s">
        <v>10</v>
      </c>
      <c r="L3" s="52"/>
      <c r="M3" s="52"/>
      <c r="N3" s="52"/>
      <c r="O3" s="52" t="s">
        <v>11</v>
      </c>
      <c r="P3" s="52"/>
      <c r="Q3" s="52"/>
      <c r="R3" s="52"/>
      <c r="S3" s="52" t="s">
        <v>1</v>
      </c>
      <c r="T3" s="52" t="s">
        <v>3</v>
      </c>
      <c r="U3" s="56" t="s">
        <v>2</v>
      </c>
    </row>
    <row r="4" spans="1:21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1"/>
      <c r="T4" s="51"/>
      <c r="U4" s="57"/>
    </row>
    <row r="5" spans="1:21" ht="16">
      <c r="A5" s="58" t="s">
        <v>12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8" t="s">
        <v>72</v>
      </c>
      <c r="B6" s="7" t="s">
        <v>13</v>
      </c>
      <c r="C6" s="7" t="s">
        <v>14</v>
      </c>
      <c r="D6" s="7" t="s">
        <v>15</v>
      </c>
      <c r="E6" s="7" t="s">
        <v>632</v>
      </c>
      <c r="F6" s="7" t="s">
        <v>16</v>
      </c>
      <c r="G6" s="14" t="s">
        <v>17</v>
      </c>
      <c r="H6" s="14" t="s">
        <v>18</v>
      </c>
      <c r="I6" s="14" t="s">
        <v>19</v>
      </c>
      <c r="J6" s="8"/>
      <c r="K6" s="14" t="s">
        <v>20</v>
      </c>
      <c r="L6" s="14" t="s">
        <v>21</v>
      </c>
      <c r="M6" s="15" t="s">
        <v>22</v>
      </c>
      <c r="N6" s="8"/>
      <c r="O6" s="14" t="s">
        <v>23</v>
      </c>
      <c r="P6" s="14" t="s">
        <v>24</v>
      </c>
      <c r="Q6" s="14" t="s">
        <v>25</v>
      </c>
      <c r="R6" s="8"/>
      <c r="S6" s="8" t="str">
        <f>"400,0"</f>
        <v>400,0</v>
      </c>
      <c r="T6" s="8" t="str">
        <f>"368,4400"</f>
        <v>368,4400</v>
      </c>
      <c r="U6" s="28" t="s">
        <v>578</v>
      </c>
    </row>
    <row r="7" spans="1:21">
      <c r="B7" s="5" t="s">
        <v>73</v>
      </c>
    </row>
    <row r="8" spans="1:21" ht="16">
      <c r="A8" s="53" t="s">
        <v>26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72</v>
      </c>
      <c r="B9" s="7" t="s">
        <v>27</v>
      </c>
      <c r="C9" s="7" t="s">
        <v>28</v>
      </c>
      <c r="D9" s="7" t="s">
        <v>29</v>
      </c>
      <c r="E9" s="7" t="s">
        <v>632</v>
      </c>
      <c r="F9" s="7" t="s">
        <v>16</v>
      </c>
      <c r="G9" s="14" t="s">
        <v>30</v>
      </c>
      <c r="H9" s="14" t="s">
        <v>23</v>
      </c>
      <c r="I9" s="14" t="s">
        <v>25</v>
      </c>
      <c r="J9" s="8"/>
      <c r="K9" s="14" t="s">
        <v>31</v>
      </c>
      <c r="L9" s="14" t="s">
        <v>18</v>
      </c>
      <c r="M9" s="14" t="s">
        <v>32</v>
      </c>
      <c r="N9" s="8"/>
      <c r="O9" s="14" t="s">
        <v>32</v>
      </c>
      <c r="P9" s="14" t="s">
        <v>33</v>
      </c>
      <c r="Q9" s="14" t="s">
        <v>34</v>
      </c>
      <c r="R9" s="8"/>
      <c r="S9" s="8" t="str">
        <f>"515,0"</f>
        <v>515,0</v>
      </c>
      <c r="T9" s="8" t="str">
        <f>"301,4552"</f>
        <v>301,4552</v>
      </c>
      <c r="U9" s="28" t="s">
        <v>568</v>
      </c>
    </row>
    <row r="10" spans="1:21">
      <c r="B10" s="5" t="s">
        <v>73</v>
      </c>
    </row>
    <row r="11" spans="1:21" ht="16">
      <c r="A11" s="53" t="s">
        <v>35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8" t="s">
        <v>72</v>
      </c>
      <c r="B12" s="7" t="s">
        <v>36</v>
      </c>
      <c r="C12" s="7" t="s">
        <v>37</v>
      </c>
      <c r="D12" s="7" t="s">
        <v>38</v>
      </c>
      <c r="E12" s="7" t="s">
        <v>632</v>
      </c>
      <c r="F12" s="7" t="s">
        <v>39</v>
      </c>
      <c r="G12" s="14" t="s">
        <v>40</v>
      </c>
      <c r="H12" s="14" t="s">
        <v>41</v>
      </c>
      <c r="I12" s="14" t="s">
        <v>42</v>
      </c>
      <c r="J12" s="8"/>
      <c r="K12" s="14" t="s">
        <v>43</v>
      </c>
      <c r="L12" s="15" t="s">
        <v>44</v>
      </c>
      <c r="M12" s="14" t="s">
        <v>44</v>
      </c>
      <c r="N12" s="8"/>
      <c r="O12" s="14" t="s">
        <v>45</v>
      </c>
      <c r="P12" s="14" t="s">
        <v>46</v>
      </c>
      <c r="Q12" s="15" t="s">
        <v>47</v>
      </c>
      <c r="R12" s="8"/>
      <c r="S12" s="8" t="str">
        <f>"767,5"</f>
        <v>767,5</v>
      </c>
      <c r="T12" s="8" t="str">
        <f>"438,7030"</f>
        <v>438,7030</v>
      </c>
      <c r="U12" s="7" t="s">
        <v>48</v>
      </c>
    </row>
    <row r="13" spans="1:21">
      <c r="B13" s="5" t="s">
        <v>73</v>
      </c>
    </row>
    <row r="14" spans="1:21" ht="16">
      <c r="A14" s="53" t="s">
        <v>49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8" t="s">
        <v>72</v>
      </c>
      <c r="B15" s="7" t="s">
        <v>50</v>
      </c>
      <c r="C15" s="7" t="s">
        <v>51</v>
      </c>
      <c r="D15" s="7" t="s">
        <v>52</v>
      </c>
      <c r="E15" s="7" t="s">
        <v>632</v>
      </c>
      <c r="F15" s="7" t="s">
        <v>53</v>
      </c>
      <c r="G15" s="14" t="s">
        <v>54</v>
      </c>
      <c r="H15" s="14" t="s">
        <v>41</v>
      </c>
      <c r="I15" s="14" t="s">
        <v>55</v>
      </c>
      <c r="J15" s="8"/>
      <c r="K15" s="14" t="s">
        <v>33</v>
      </c>
      <c r="L15" s="14" t="s">
        <v>56</v>
      </c>
      <c r="M15" s="14" t="s">
        <v>57</v>
      </c>
      <c r="N15" s="8"/>
      <c r="O15" s="14" t="s">
        <v>45</v>
      </c>
      <c r="P15" s="14" t="s">
        <v>46</v>
      </c>
      <c r="Q15" s="14" t="s">
        <v>58</v>
      </c>
      <c r="R15" s="8"/>
      <c r="S15" s="8" t="str">
        <f>"755,0"</f>
        <v>755,0</v>
      </c>
      <c r="T15" s="8" t="str">
        <f>"410,7049"</f>
        <v>410,7049</v>
      </c>
      <c r="U15" s="7"/>
    </row>
    <row r="16" spans="1:21">
      <c r="B16" s="5" t="s">
        <v>73</v>
      </c>
    </row>
  </sheetData>
  <mergeCells count="17">
    <mergeCell ref="A5:R5"/>
    <mergeCell ref="A8:R8"/>
    <mergeCell ref="A11:R11"/>
    <mergeCell ref="A14:R14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37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2.5" style="5" customWidth="1"/>
    <col min="6" max="6" width="33" style="5" bestFit="1" customWidth="1"/>
    <col min="7" max="9" width="4.5" style="6" customWidth="1"/>
    <col min="10" max="10" width="4.83203125" style="6" customWidth="1"/>
    <col min="11" max="11" width="11.5" style="6" customWidth="1"/>
    <col min="12" max="12" width="10.1640625" style="6" customWidth="1"/>
    <col min="13" max="13" width="19.33203125" style="5" customWidth="1"/>
    <col min="14" max="16384" width="9.1640625" style="3"/>
  </cols>
  <sheetData>
    <row r="1" spans="1:13" s="2" customFormat="1" ht="29" customHeight="1">
      <c r="A1" s="40" t="s">
        <v>587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629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120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508</v>
      </c>
      <c r="C6" s="7" t="s">
        <v>606</v>
      </c>
      <c r="D6" s="7" t="s">
        <v>509</v>
      </c>
      <c r="E6" s="7" t="s">
        <v>633</v>
      </c>
      <c r="F6" s="7" t="s">
        <v>627</v>
      </c>
      <c r="G6" s="14" t="s">
        <v>502</v>
      </c>
      <c r="H6" s="14" t="s">
        <v>501</v>
      </c>
      <c r="I6" s="15" t="s">
        <v>322</v>
      </c>
      <c r="J6" s="8"/>
      <c r="K6" s="8" t="str">
        <f>"32,5"</f>
        <v>32,5</v>
      </c>
      <c r="L6" s="8" t="str">
        <f>"28,5366"</f>
        <v>28,5366</v>
      </c>
      <c r="M6" s="7"/>
    </row>
    <row r="7" spans="1:13">
      <c r="B7" s="5" t="s">
        <v>73</v>
      </c>
    </row>
    <row r="8" spans="1:13" ht="16">
      <c r="A8" s="53" t="s">
        <v>12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72</v>
      </c>
      <c r="B9" s="7" t="s">
        <v>503</v>
      </c>
      <c r="C9" s="7" t="s">
        <v>504</v>
      </c>
      <c r="D9" s="7" t="s">
        <v>339</v>
      </c>
      <c r="E9" s="7" t="s">
        <v>632</v>
      </c>
      <c r="F9" s="7" t="s">
        <v>16</v>
      </c>
      <c r="G9" s="14" t="s">
        <v>305</v>
      </c>
      <c r="H9" s="14" t="s">
        <v>124</v>
      </c>
      <c r="I9" s="15" t="s">
        <v>89</v>
      </c>
      <c r="J9" s="8"/>
      <c r="K9" s="8" t="str">
        <f>"45,0"</f>
        <v>45,0</v>
      </c>
      <c r="L9" s="8" t="str">
        <f>"33,8490"</f>
        <v>33,8490</v>
      </c>
      <c r="M9" s="28" t="s">
        <v>344</v>
      </c>
    </row>
    <row r="10" spans="1:13">
      <c r="B10" s="5" t="s">
        <v>73</v>
      </c>
    </row>
    <row r="11" spans="1:13" ht="16">
      <c r="A11" s="53" t="s">
        <v>150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3">
      <c r="A12" s="17" t="s">
        <v>72</v>
      </c>
      <c r="B12" s="16" t="s">
        <v>510</v>
      </c>
      <c r="C12" s="16" t="s">
        <v>511</v>
      </c>
      <c r="D12" s="16" t="s">
        <v>259</v>
      </c>
      <c r="E12" s="16" t="s">
        <v>632</v>
      </c>
      <c r="F12" s="16" t="s">
        <v>16</v>
      </c>
      <c r="G12" s="22" t="s">
        <v>81</v>
      </c>
      <c r="H12" s="22" t="s">
        <v>90</v>
      </c>
      <c r="I12" s="22" t="s">
        <v>115</v>
      </c>
      <c r="J12" s="17"/>
      <c r="K12" s="17" t="str">
        <f>"62,5"</f>
        <v>62,5</v>
      </c>
      <c r="L12" s="17" t="str">
        <f>"45,2875"</f>
        <v>45,2875</v>
      </c>
      <c r="M12" s="16"/>
    </row>
    <row r="13" spans="1:13">
      <c r="A13" s="21" t="s">
        <v>215</v>
      </c>
      <c r="B13" s="20" t="s">
        <v>512</v>
      </c>
      <c r="C13" s="20" t="s">
        <v>513</v>
      </c>
      <c r="D13" s="20" t="s">
        <v>514</v>
      </c>
      <c r="E13" s="20" t="s">
        <v>632</v>
      </c>
      <c r="F13" s="20" t="s">
        <v>16</v>
      </c>
      <c r="G13" s="26" t="s">
        <v>89</v>
      </c>
      <c r="H13" s="26" t="s">
        <v>81</v>
      </c>
      <c r="I13" s="25" t="s">
        <v>331</v>
      </c>
      <c r="J13" s="21"/>
      <c r="K13" s="21" t="str">
        <f>"55,0"</f>
        <v>55,0</v>
      </c>
      <c r="L13" s="21" t="str">
        <f>"38,7283"</f>
        <v>38,7283</v>
      </c>
      <c r="M13" s="20"/>
    </row>
    <row r="14" spans="1:13">
      <c r="B14" s="5" t="s">
        <v>73</v>
      </c>
    </row>
    <row r="15" spans="1:13" ht="16">
      <c r="A15" s="53" t="s">
        <v>160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3">
      <c r="A16" s="17" t="s">
        <v>72</v>
      </c>
      <c r="B16" s="16" t="s">
        <v>515</v>
      </c>
      <c r="C16" s="16" t="s">
        <v>516</v>
      </c>
      <c r="D16" s="16" t="s">
        <v>517</v>
      </c>
      <c r="E16" s="16" t="s">
        <v>632</v>
      </c>
      <c r="F16" s="16" t="s">
        <v>518</v>
      </c>
      <c r="G16" s="22" t="s">
        <v>97</v>
      </c>
      <c r="H16" s="17"/>
      <c r="I16" s="17"/>
      <c r="J16" s="17"/>
      <c r="K16" s="17" t="str">
        <f>"67,5"</f>
        <v>67,5</v>
      </c>
      <c r="L16" s="17" t="str">
        <f>"44,5534"</f>
        <v>44,5534</v>
      </c>
      <c r="M16" s="16" t="s">
        <v>556</v>
      </c>
    </row>
    <row r="17" spans="1:13">
      <c r="A17" s="19" t="s">
        <v>215</v>
      </c>
      <c r="B17" s="18" t="s">
        <v>519</v>
      </c>
      <c r="C17" s="18" t="s">
        <v>520</v>
      </c>
      <c r="D17" s="18" t="s">
        <v>521</v>
      </c>
      <c r="E17" s="18" t="s">
        <v>632</v>
      </c>
      <c r="F17" s="18" t="s">
        <v>16</v>
      </c>
      <c r="G17" s="23" t="s">
        <v>81</v>
      </c>
      <c r="H17" s="23" t="s">
        <v>90</v>
      </c>
      <c r="I17" s="23" t="s">
        <v>96</v>
      </c>
      <c r="J17" s="19"/>
      <c r="K17" s="19" t="str">
        <f>"65,0"</f>
        <v>65,0</v>
      </c>
      <c r="L17" s="19" t="str">
        <f>"43,2802"</f>
        <v>43,2802</v>
      </c>
      <c r="M17" s="18"/>
    </row>
    <row r="18" spans="1:13">
      <c r="A18" s="19" t="s">
        <v>216</v>
      </c>
      <c r="B18" s="18" t="s">
        <v>522</v>
      </c>
      <c r="C18" s="18" t="s">
        <v>523</v>
      </c>
      <c r="D18" s="18" t="s">
        <v>524</v>
      </c>
      <c r="E18" s="18" t="s">
        <v>632</v>
      </c>
      <c r="F18" s="18" t="s">
        <v>525</v>
      </c>
      <c r="G18" s="24" t="s">
        <v>96</v>
      </c>
      <c r="H18" s="23" t="s">
        <v>96</v>
      </c>
      <c r="I18" s="24" t="s">
        <v>97</v>
      </c>
      <c r="J18" s="19"/>
      <c r="K18" s="19" t="str">
        <f>"65,0"</f>
        <v>65,0</v>
      </c>
      <c r="L18" s="19" t="str">
        <f>"42,6855"</f>
        <v>42,6855</v>
      </c>
      <c r="M18" s="18"/>
    </row>
    <row r="19" spans="1:13">
      <c r="A19" s="19" t="s">
        <v>430</v>
      </c>
      <c r="B19" s="18" t="s">
        <v>369</v>
      </c>
      <c r="C19" s="18" t="s">
        <v>370</v>
      </c>
      <c r="D19" s="18" t="s">
        <v>371</v>
      </c>
      <c r="E19" s="18" t="s">
        <v>632</v>
      </c>
      <c r="F19" s="18" t="s">
        <v>554</v>
      </c>
      <c r="G19" s="23" t="s">
        <v>89</v>
      </c>
      <c r="H19" s="23" t="s">
        <v>81</v>
      </c>
      <c r="I19" s="24" t="s">
        <v>90</v>
      </c>
      <c r="J19" s="19"/>
      <c r="K19" s="19" t="str">
        <f>"55,0"</f>
        <v>55,0</v>
      </c>
      <c r="L19" s="19" t="str">
        <f>"36,7483"</f>
        <v>36,7483</v>
      </c>
      <c r="M19" s="18"/>
    </row>
    <row r="20" spans="1:13">
      <c r="A20" s="21" t="s">
        <v>72</v>
      </c>
      <c r="B20" s="20" t="s">
        <v>526</v>
      </c>
      <c r="C20" s="20" t="s">
        <v>607</v>
      </c>
      <c r="D20" s="20" t="s">
        <v>527</v>
      </c>
      <c r="E20" s="20" t="s">
        <v>634</v>
      </c>
      <c r="F20" s="20" t="s">
        <v>153</v>
      </c>
      <c r="G20" s="26" t="s">
        <v>331</v>
      </c>
      <c r="H20" s="26" t="s">
        <v>96</v>
      </c>
      <c r="I20" s="21"/>
      <c r="J20" s="21"/>
      <c r="K20" s="21" t="str">
        <f>"65,0"</f>
        <v>65,0</v>
      </c>
      <c r="L20" s="21" t="str">
        <f>"46,9436"</f>
        <v>46,9436</v>
      </c>
      <c r="M20" s="20"/>
    </row>
    <row r="21" spans="1:13">
      <c r="B21" s="5" t="s">
        <v>73</v>
      </c>
    </row>
    <row r="22" spans="1:13" ht="16">
      <c r="A22" s="53" t="s">
        <v>125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3">
      <c r="A23" s="8" t="s">
        <v>72</v>
      </c>
      <c r="B23" s="7" t="s">
        <v>381</v>
      </c>
      <c r="C23" s="7" t="s">
        <v>382</v>
      </c>
      <c r="D23" s="7" t="s">
        <v>383</v>
      </c>
      <c r="E23" s="7" t="s">
        <v>632</v>
      </c>
      <c r="F23" s="7" t="s">
        <v>16</v>
      </c>
      <c r="G23" s="14" t="s">
        <v>89</v>
      </c>
      <c r="H23" s="14" t="s">
        <v>81</v>
      </c>
      <c r="I23" s="15" t="s">
        <v>96</v>
      </c>
      <c r="J23" s="8"/>
      <c r="K23" s="8" t="str">
        <f>"55,0"</f>
        <v>55,0</v>
      </c>
      <c r="L23" s="8" t="str">
        <f>"33,9268"</f>
        <v>33,9268</v>
      </c>
      <c r="M23" s="28" t="s">
        <v>557</v>
      </c>
    </row>
    <row r="24" spans="1:13">
      <c r="B24" s="5" t="s">
        <v>73</v>
      </c>
    </row>
    <row r="25" spans="1:13" ht="16">
      <c r="A25" s="53" t="s">
        <v>26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3">
      <c r="A26" s="8" t="s">
        <v>72</v>
      </c>
      <c r="B26" s="7" t="s">
        <v>505</v>
      </c>
      <c r="C26" s="7" t="s">
        <v>506</v>
      </c>
      <c r="D26" s="7" t="s">
        <v>507</v>
      </c>
      <c r="E26" s="7" t="s">
        <v>632</v>
      </c>
      <c r="F26" s="7" t="s">
        <v>627</v>
      </c>
      <c r="G26" s="14" t="s">
        <v>116</v>
      </c>
      <c r="H26" s="15" t="s">
        <v>78</v>
      </c>
      <c r="I26" s="15" t="s">
        <v>78</v>
      </c>
      <c r="J26" s="8"/>
      <c r="K26" s="8" t="str">
        <f>"70,0"</f>
        <v>70,0</v>
      </c>
      <c r="L26" s="8" t="str">
        <f>"41,0445"</f>
        <v>41,0445</v>
      </c>
      <c r="M26" s="7"/>
    </row>
    <row r="27" spans="1:13">
      <c r="B27" s="5" t="s">
        <v>73</v>
      </c>
    </row>
    <row r="29" spans="1:13">
      <c r="B29" s="5" t="s">
        <v>73</v>
      </c>
    </row>
    <row r="30" spans="1:13" ht="18">
      <c r="B30" s="9" t="s">
        <v>59</v>
      </c>
      <c r="C30" s="9"/>
    </row>
    <row r="31" spans="1:13" ht="16">
      <c r="B31" s="10" t="s">
        <v>68</v>
      </c>
      <c r="C31" s="10"/>
    </row>
    <row r="32" spans="1:13" ht="14">
      <c r="B32" s="11"/>
      <c r="C32" s="12" t="s">
        <v>61</v>
      </c>
    </row>
    <row r="33" spans="1:6" ht="14">
      <c r="A33" s="6"/>
      <c r="B33" s="13" t="s">
        <v>62</v>
      </c>
      <c r="C33" s="13" t="s">
        <v>63</v>
      </c>
      <c r="D33" s="13" t="s">
        <v>608</v>
      </c>
      <c r="E33" s="13" t="s">
        <v>298</v>
      </c>
      <c r="F33" s="13" t="s">
        <v>66</v>
      </c>
    </row>
    <row r="34" spans="1:6" ht="13.5" customHeight="1">
      <c r="A34" s="6"/>
      <c r="B34" s="5" t="s">
        <v>510</v>
      </c>
      <c r="C34" s="5" t="s">
        <v>61</v>
      </c>
      <c r="D34" s="6" t="s">
        <v>213</v>
      </c>
      <c r="E34" s="6" t="s">
        <v>115</v>
      </c>
      <c r="F34" s="6" t="s">
        <v>528</v>
      </c>
    </row>
    <row r="35" spans="1:6">
      <c r="A35" s="6"/>
      <c r="B35" s="5" t="s">
        <v>515</v>
      </c>
      <c r="C35" s="5" t="s">
        <v>61</v>
      </c>
      <c r="D35" s="6" t="s">
        <v>204</v>
      </c>
      <c r="E35" s="6" t="s">
        <v>97</v>
      </c>
      <c r="F35" s="6" t="s">
        <v>529</v>
      </c>
    </row>
    <row r="36" spans="1:6">
      <c r="A36" s="6"/>
      <c r="B36" s="5" t="s">
        <v>519</v>
      </c>
      <c r="C36" s="5" t="s">
        <v>61</v>
      </c>
      <c r="D36" s="6" t="s">
        <v>204</v>
      </c>
      <c r="E36" s="6" t="s">
        <v>96</v>
      </c>
      <c r="F36" s="6" t="s">
        <v>530</v>
      </c>
    </row>
    <row r="37" spans="1:6">
      <c r="B37" s="5" t="s">
        <v>73</v>
      </c>
    </row>
  </sheetData>
  <mergeCells count="17">
    <mergeCell ref="A25:J25"/>
    <mergeCell ref="A5:J5"/>
    <mergeCell ref="A8:J8"/>
    <mergeCell ref="A11:J11"/>
    <mergeCell ref="A15:J15"/>
    <mergeCell ref="A22:J22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6.33203125" style="5" bestFit="1" customWidth="1"/>
    <col min="4" max="4" width="21.5" style="5" bestFit="1" customWidth="1"/>
    <col min="5" max="5" width="22.83203125" style="5" customWidth="1"/>
    <col min="6" max="6" width="30.5" style="5" bestFit="1" customWidth="1"/>
    <col min="7" max="9" width="5.5" style="6" customWidth="1"/>
    <col min="10" max="10" width="4.83203125" style="6" customWidth="1"/>
    <col min="11" max="11" width="10.6640625" style="6" customWidth="1"/>
    <col min="12" max="12" width="14.6640625" style="39" customWidth="1"/>
    <col min="13" max="13" width="7.83203125" style="6" bestFit="1" customWidth="1"/>
    <col min="14" max="14" width="9.5" style="6" bestFit="1" customWidth="1"/>
    <col min="15" max="15" width="19.83203125" style="5" customWidth="1"/>
    <col min="16" max="16384" width="9.1640625" style="3"/>
  </cols>
  <sheetData>
    <row r="1" spans="1:15" s="2" customFormat="1" ht="29" customHeight="1">
      <c r="A1" s="40" t="s">
        <v>584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/>
      <c r="L3" s="52"/>
      <c r="M3" s="52" t="s">
        <v>1</v>
      </c>
      <c r="N3" s="52" t="s">
        <v>3</v>
      </c>
      <c r="O3" s="56" t="s">
        <v>2</v>
      </c>
    </row>
    <row r="4" spans="1:15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37" t="s">
        <v>7</v>
      </c>
      <c r="M4" s="51"/>
      <c r="N4" s="51"/>
      <c r="O4" s="57"/>
    </row>
    <row r="5" spans="1:15" ht="16">
      <c r="A5" s="58" t="s">
        <v>538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5">
      <c r="A6" s="8" t="s">
        <v>72</v>
      </c>
      <c r="B6" s="7" t="s">
        <v>539</v>
      </c>
      <c r="C6" s="7" t="s">
        <v>540</v>
      </c>
      <c r="D6" s="7" t="s">
        <v>541</v>
      </c>
      <c r="E6" s="7" t="s">
        <v>632</v>
      </c>
      <c r="F6" s="7" t="s">
        <v>153</v>
      </c>
      <c r="G6" s="14" t="s">
        <v>31</v>
      </c>
      <c r="H6" s="14" t="s">
        <v>17</v>
      </c>
      <c r="I6" s="14" t="s">
        <v>244</v>
      </c>
      <c r="J6" s="8"/>
      <c r="K6" s="8" t="s">
        <v>20</v>
      </c>
      <c r="L6" s="38">
        <v>19</v>
      </c>
      <c r="M6" s="8" t="str">
        <f>"144,0"</f>
        <v>144,0</v>
      </c>
      <c r="N6" s="8" t="str">
        <f>"5501,8292"</f>
        <v>5501,8292</v>
      </c>
      <c r="O6" s="7"/>
    </row>
    <row r="7" spans="1:15">
      <c r="B7" s="5" t="s">
        <v>73</v>
      </c>
    </row>
    <row r="8" spans="1:15" ht="16">
      <c r="A8" s="53" t="s">
        <v>125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5">
      <c r="A9" s="8" t="s">
        <v>72</v>
      </c>
      <c r="B9" s="7" t="s">
        <v>542</v>
      </c>
      <c r="C9" s="7" t="s">
        <v>543</v>
      </c>
      <c r="D9" s="7" t="s">
        <v>544</v>
      </c>
      <c r="E9" s="7" t="s">
        <v>632</v>
      </c>
      <c r="F9" s="7" t="s">
        <v>16</v>
      </c>
      <c r="G9" s="14" t="s">
        <v>17</v>
      </c>
      <c r="H9" s="15" t="s">
        <v>30</v>
      </c>
      <c r="I9" s="15" t="s">
        <v>30</v>
      </c>
      <c r="J9" s="8"/>
      <c r="K9" s="8" t="s">
        <v>21</v>
      </c>
      <c r="L9" s="38">
        <v>21</v>
      </c>
      <c r="M9" s="8" t="str">
        <f>"141,0"</f>
        <v>141,0</v>
      </c>
      <c r="N9" s="8" t="str">
        <f>"5321,7657"</f>
        <v>5321,7657</v>
      </c>
      <c r="O9" s="7"/>
    </row>
    <row r="10" spans="1:15">
      <c r="B10" s="5" t="s">
        <v>73</v>
      </c>
    </row>
    <row r="11" spans="1:15">
      <c r="B11" s="5" t="s">
        <v>73</v>
      </c>
    </row>
  </sheetData>
  <mergeCells count="14">
    <mergeCell ref="A8:L8"/>
    <mergeCell ref="B3:B4"/>
    <mergeCell ref="K3:L3"/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6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9" style="5" bestFit="1" customWidth="1"/>
    <col min="4" max="4" width="17.1640625" style="5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6.83203125" style="5" bestFit="1" customWidth="1"/>
    <col min="22" max="16384" width="9.1640625" style="3"/>
  </cols>
  <sheetData>
    <row r="1" spans="1:21" s="2" customFormat="1" ht="29" customHeight="1">
      <c r="A1" s="40" t="s">
        <v>611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9</v>
      </c>
      <c r="H3" s="52"/>
      <c r="I3" s="52"/>
      <c r="J3" s="52"/>
      <c r="K3" s="52" t="s">
        <v>10</v>
      </c>
      <c r="L3" s="52"/>
      <c r="M3" s="52"/>
      <c r="N3" s="52"/>
      <c r="O3" s="52" t="s">
        <v>11</v>
      </c>
      <c r="P3" s="52"/>
      <c r="Q3" s="52"/>
      <c r="R3" s="52"/>
      <c r="S3" s="52" t="s">
        <v>1</v>
      </c>
      <c r="T3" s="52" t="s">
        <v>3</v>
      </c>
      <c r="U3" s="56" t="s">
        <v>2</v>
      </c>
    </row>
    <row r="4" spans="1:21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1"/>
      <c r="T4" s="51"/>
      <c r="U4" s="57"/>
    </row>
    <row r="5" spans="1:21" ht="16">
      <c r="A5" s="58" t="s">
        <v>120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8" t="s">
        <v>72</v>
      </c>
      <c r="B6" s="7" t="s">
        <v>229</v>
      </c>
      <c r="C6" s="7" t="s">
        <v>230</v>
      </c>
      <c r="D6" s="7" t="s">
        <v>231</v>
      </c>
      <c r="E6" s="7" t="s">
        <v>634</v>
      </c>
      <c r="F6" s="7" t="s">
        <v>53</v>
      </c>
      <c r="G6" s="15" t="s">
        <v>114</v>
      </c>
      <c r="H6" s="14" t="s">
        <v>114</v>
      </c>
      <c r="I6" s="15" t="s">
        <v>17</v>
      </c>
      <c r="J6" s="8"/>
      <c r="K6" s="14" t="s">
        <v>89</v>
      </c>
      <c r="L6" s="14" t="s">
        <v>104</v>
      </c>
      <c r="M6" s="14" t="s">
        <v>81</v>
      </c>
      <c r="N6" s="8"/>
      <c r="O6" s="14" t="s">
        <v>22</v>
      </c>
      <c r="P6" s="14" t="s">
        <v>105</v>
      </c>
      <c r="Q6" s="14" t="s">
        <v>31</v>
      </c>
      <c r="R6" s="8"/>
      <c r="S6" s="8" t="str">
        <f>"280,0"</f>
        <v>280,0</v>
      </c>
      <c r="T6" s="8" t="str">
        <f>"282,8297"</f>
        <v>282,8297</v>
      </c>
      <c r="U6" s="7" t="s">
        <v>564</v>
      </c>
    </row>
    <row r="7" spans="1:21">
      <c r="B7" s="5" t="s">
        <v>73</v>
      </c>
    </row>
    <row r="8" spans="1:21" ht="16">
      <c r="A8" s="53" t="s">
        <v>12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72</v>
      </c>
      <c r="B9" s="7" t="s">
        <v>232</v>
      </c>
      <c r="C9" s="7" t="s">
        <v>592</v>
      </c>
      <c r="D9" s="7" t="s">
        <v>233</v>
      </c>
      <c r="E9" s="7" t="s">
        <v>635</v>
      </c>
      <c r="F9" s="7" t="s">
        <v>16</v>
      </c>
      <c r="G9" s="14" t="s">
        <v>17</v>
      </c>
      <c r="H9" s="14" t="s">
        <v>18</v>
      </c>
      <c r="I9" s="15" t="s">
        <v>234</v>
      </c>
      <c r="J9" s="8"/>
      <c r="K9" s="14" t="s">
        <v>116</v>
      </c>
      <c r="L9" s="14" t="s">
        <v>79</v>
      </c>
      <c r="M9" s="15" t="s">
        <v>20</v>
      </c>
      <c r="N9" s="8"/>
      <c r="O9" s="14" t="s">
        <v>19</v>
      </c>
      <c r="P9" s="14" t="s">
        <v>32</v>
      </c>
      <c r="Q9" s="14" t="s">
        <v>23</v>
      </c>
      <c r="R9" s="8"/>
      <c r="S9" s="8" t="str">
        <f>"355,0"</f>
        <v>355,0</v>
      </c>
      <c r="T9" s="8" t="str">
        <f>"325,4107"</f>
        <v>325,4107</v>
      </c>
      <c r="U9" s="7"/>
    </row>
    <row r="10" spans="1:21">
      <c r="B10" s="5" t="s">
        <v>73</v>
      </c>
    </row>
    <row r="11" spans="1:21" ht="16">
      <c r="A11" s="53" t="s">
        <v>160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8" t="s">
        <v>72</v>
      </c>
      <c r="B12" s="7" t="s">
        <v>235</v>
      </c>
      <c r="C12" s="7" t="s">
        <v>236</v>
      </c>
      <c r="D12" s="7" t="s">
        <v>237</v>
      </c>
      <c r="E12" s="7" t="s">
        <v>634</v>
      </c>
      <c r="F12" s="7" t="s">
        <v>53</v>
      </c>
      <c r="G12" s="14" t="s">
        <v>18</v>
      </c>
      <c r="H12" s="14" t="s">
        <v>19</v>
      </c>
      <c r="I12" s="14" t="s">
        <v>132</v>
      </c>
      <c r="J12" s="8"/>
      <c r="K12" s="14" t="s">
        <v>79</v>
      </c>
      <c r="L12" s="14" t="s">
        <v>87</v>
      </c>
      <c r="M12" s="15" t="s">
        <v>102</v>
      </c>
      <c r="N12" s="8"/>
      <c r="O12" s="14" t="s">
        <v>19</v>
      </c>
      <c r="P12" s="14" t="s">
        <v>132</v>
      </c>
      <c r="Q12" s="14" t="s">
        <v>24</v>
      </c>
      <c r="R12" s="8"/>
      <c r="S12" s="8" t="str">
        <f>"395,0"</f>
        <v>395,0</v>
      </c>
      <c r="T12" s="8" t="str">
        <f>"328,5043"</f>
        <v>328,5043</v>
      </c>
      <c r="U12" s="7" t="s">
        <v>569</v>
      </c>
    </row>
    <row r="13" spans="1:21">
      <c r="B13" s="5" t="s">
        <v>73</v>
      </c>
    </row>
    <row r="14" spans="1:21" ht="16">
      <c r="A14" s="53" t="s">
        <v>160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8" t="s">
        <v>72</v>
      </c>
      <c r="B15" s="7" t="s">
        <v>238</v>
      </c>
      <c r="C15" s="7" t="s">
        <v>239</v>
      </c>
      <c r="D15" s="7" t="s">
        <v>240</v>
      </c>
      <c r="E15" s="7" t="s">
        <v>632</v>
      </c>
      <c r="F15" s="7" t="s">
        <v>53</v>
      </c>
      <c r="G15" s="14" t="s">
        <v>25</v>
      </c>
      <c r="H15" s="15" t="s">
        <v>140</v>
      </c>
      <c r="I15" s="14" t="s">
        <v>56</v>
      </c>
      <c r="J15" s="8"/>
      <c r="K15" s="14" t="s">
        <v>131</v>
      </c>
      <c r="L15" s="14" t="s">
        <v>19</v>
      </c>
      <c r="M15" s="14" t="s">
        <v>190</v>
      </c>
      <c r="N15" s="8"/>
      <c r="O15" s="14" t="s">
        <v>220</v>
      </c>
      <c r="P15" s="14" t="s">
        <v>55</v>
      </c>
      <c r="Q15" s="14" t="s">
        <v>42</v>
      </c>
      <c r="R15" s="8"/>
      <c r="S15" s="8" t="str">
        <f>"592,5"</f>
        <v>592,5</v>
      </c>
      <c r="T15" s="8" t="str">
        <f>"401,7150"</f>
        <v>401,7150</v>
      </c>
      <c r="U15" s="7"/>
    </row>
    <row r="16" spans="1:21">
      <c r="B16" s="5" t="s">
        <v>73</v>
      </c>
    </row>
    <row r="17" spans="1:21" ht="16">
      <c r="A17" s="53" t="s">
        <v>125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17" t="s">
        <v>72</v>
      </c>
      <c r="B18" s="16" t="s">
        <v>241</v>
      </c>
      <c r="C18" s="16" t="s">
        <v>242</v>
      </c>
      <c r="D18" s="16" t="s">
        <v>243</v>
      </c>
      <c r="E18" s="16" t="s">
        <v>632</v>
      </c>
      <c r="F18" s="16" t="s">
        <v>153</v>
      </c>
      <c r="G18" s="22" t="s">
        <v>34</v>
      </c>
      <c r="H18" s="22" t="s">
        <v>43</v>
      </c>
      <c r="I18" s="27" t="s">
        <v>40</v>
      </c>
      <c r="J18" s="17"/>
      <c r="K18" s="22" t="s">
        <v>17</v>
      </c>
      <c r="L18" s="22" t="s">
        <v>244</v>
      </c>
      <c r="M18" s="27" t="s">
        <v>18</v>
      </c>
      <c r="N18" s="17"/>
      <c r="O18" s="22" t="s">
        <v>34</v>
      </c>
      <c r="P18" s="22" t="s">
        <v>43</v>
      </c>
      <c r="Q18" s="27" t="s">
        <v>163</v>
      </c>
      <c r="R18" s="17"/>
      <c r="S18" s="17" t="str">
        <f>"545,0"</f>
        <v>545,0</v>
      </c>
      <c r="T18" s="17" t="str">
        <f>"341,8513"</f>
        <v>341,8513</v>
      </c>
      <c r="U18" s="16" t="s">
        <v>560</v>
      </c>
    </row>
    <row r="19" spans="1:21">
      <c r="A19" s="21" t="s">
        <v>72</v>
      </c>
      <c r="B19" s="20" t="s">
        <v>245</v>
      </c>
      <c r="C19" s="20" t="s">
        <v>246</v>
      </c>
      <c r="D19" s="20" t="s">
        <v>247</v>
      </c>
      <c r="E19" s="20" t="s">
        <v>637</v>
      </c>
      <c r="F19" s="20" t="s">
        <v>53</v>
      </c>
      <c r="G19" s="26" t="s">
        <v>140</v>
      </c>
      <c r="H19" s="26" t="s">
        <v>56</v>
      </c>
      <c r="I19" s="26" t="s">
        <v>57</v>
      </c>
      <c r="J19" s="21"/>
      <c r="K19" s="26" t="s">
        <v>131</v>
      </c>
      <c r="L19" s="25" t="s">
        <v>19</v>
      </c>
      <c r="M19" s="25" t="s">
        <v>190</v>
      </c>
      <c r="N19" s="21"/>
      <c r="O19" s="26" t="s">
        <v>179</v>
      </c>
      <c r="P19" s="25" t="s">
        <v>248</v>
      </c>
      <c r="Q19" s="21"/>
      <c r="R19" s="21"/>
      <c r="S19" s="21" t="str">
        <f>"535,0"</f>
        <v>535,0</v>
      </c>
      <c r="T19" s="21" t="str">
        <f>"395,3409"</f>
        <v>395,3409</v>
      </c>
      <c r="U19" s="20"/>
    </row>
    <row r="20" spans="1:21">
      <c r="B20" s="5" t="s">
        <v>73</v>
      </c>
    </row>
    <row r="21" spans="1:21" ht="16">
      <c r="A21" s="53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21">
      <c r="A22" s="8" t="s">
        <v>72</v>
      </c>
      <c r="B22" s="7" t="s">
        <v>249</v>
      </c>
      <c r="C22" s="7" t="s">
        <v>250</v>
      </c>
      <c r="D22" s="7" t="s">
        <v>251</v>
      </c>
      <c r="E22" s="7" t="s">
        <v>632</v>
      </c>
      <c r="F22" s="7" t="s">
        <v>153</v>
      </c>
      <c r="G22" s="14" t="s">
        <v>54</v>
      </c>
      <c r="H22" s="15" t="s">
        <v>41</v>
      </c>
      <c r="I22" s="8"/>
      <c r="J22" s="8"/>
      <c r="K22" s="14" t="s">
        <v>32</v>
      </c>
      <c r="L22" s="14" t="s">
        <v>138</v>
      </c>
      <c r="M22" s="15" t="s">
        <v>24</v>
      </c>
      <c r="N22" s="8"/>
      <c r="O22" s="14" t="s">
        <v>41</v>
      </c>
      <c r="P22" s="14" t="s">
        <v>55</v>
      </c>
      <c r="Q22" s="15" t="s">
        <v>252</v>
      </c>
      <c r="R22" s="8"/>
      <c r="S22" s="8" t="str">
        <f>"635,0"</f>
        <v>635,0</v>
      </c>
      <c r="T22" s="8" t="str">
        <f>"363,3470"</f>
        <v>363,3470</v>
      </c>
      <c r="U22" s="7" t="s">
        <v>560</v>
      </c>
    </row>
    <row r="23" spans="1:21">
      <c r="B23" s="5" t="s">
        <v>73</v>
      </c>
    </row>
    <row r="24" spans="1:21" ht="16">
      <c r="A24" s="53" t="s">
        <v>253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1">
      <c r="A25" s="8" t="s">
        <v>72</v>
      </c>
      <c r="B25" s="7" t="s">
        <v>254</v>
      </c>
      <c r="C25" s="7" t="s">
        <v>255</v>
      </c>
      <c r="D25" s="7" t="s">
        <v>256</v>
      </c>
      <c r="E25" s="7" t="s">
        <v>632</v>
      </c>
      <c r="F25" s="7" t="s">
        <v>153</v>
      </c>
      <c r="G25" s="15" t="s">
        <v>33</v>
      </c>
      <c r="H25" s="14" t="s">
        <v>140</v>
      </c>
      <c r="I25" s="15" t="s">
        <v>34</v>
      </c>
      <c r="J25" s="8"/>
      <c r="K25" s="14" t="s">
        <v>131</v>
      </c>
      <c r="L25" s="14" t="s">
        <v>19</v>
      </c>
      <c r="M25" s="14" t="s">
        <v>32</v>
      </c>
      <c r="N25" s="8"/>
      <c r="O25" s="15" t="s">
        <v>33</v>
      </c>
      <c r="P25" s="14" t="s">
        <v>33</v>
      </c>
      <c r="Q25" s="14" t="s">
        <v>56</v>
      </c>
      <c r="R25" s="8"/>
      <c r="S25" s="8" t="str">
        <f>"520,0"</f>
        <v>520,0</v>
      </c>
      <c r="T25" s="8" t="str">
        <f>"288,3920"</f>
        <v>288,3920</v>
      </c>
      <c r="U25" s="7" t="s">
        <v>560</v>
      </c>
    </row>
    <row r="26" spans="1:21">
      <c r="B26" s="5" t="s">
        <v>73</v>
      </c>
    </row>
  </sheetData>
  <mergeCells count="20">
    <mergeCell ref="A24:R24"/>
    <mergeCell ref="S3:S4"/>
    <mergeCell ref="T3:T4"/>
    <mergeCell ref="U3:U4"/>
    <mergeCell ref="A5:R5"/>
    <mergeCell ref="B3:B4"/>
    <mergeCell ref="A8:R8"/>
    <mergeCell ref="A11:R11"/>
    <mergeCell ref="A14:R14"/>
    <mergeCell ref="A17:R17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7.5" style="5" bestFit="1" customWidth="1"/>
    <col min="4" max="4" width="16.5" style="5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19" style="5" customWidth="1"/>
    <col min="22" max="16384" width="9.1640625" style="3"/>
  </cols>
  <sheetData>
    <row r="1" spans="1:21" s="2" customFormat="1" ht="29" customHeight="1">
      <c r="A1" s="40" t="s">
        <v>612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9</v>
      </c>
      <c r="H3" s="52"/>
      <c r="I3" s="52"/>
      <c r="J3" s="52"/>
      <c r="K3" s="52" t="s">
        <v>10</v>
      </c>
      <c r="L3" s="52"/>
      <c r="M3" s="52"/>
      <c r="N3" s="52"/>
      <c r="O3" s="52" t="s">
        <v>11</v>
      </c>
      <c r="P3" s="52"/>
      <c r="Q3" s="52"/>
      <c r="R3" s="52"/>
      <c r="S3" s="54" t="s">
        <v>1</v>
      </c>
      <c r="T3" s="52" t="s">
        <v>3</v>
      </c>
      <c r="U3" s="56" t="s">
        <v>2</v>
      </c>
    </row>
    <row r="4" spans="1:21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1"/>
      <c r="U4" s="57"/>
    </row>
    <row r="5" spans="1:21" ht="16">
      <c r="A5" s="58" t="s">
        <v>26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17" t="s">
        <v>72</v>
      </c>
      <c r="B6" s="16" t="s">
        <v>217</v>
      </c>
      <c r="C6" s="16" t="s">
        <v>218</v>
      </c>
      <c r="D6" s="16" t="s">
        <v>219</v>
      </c>
      <c r="E6" s="16" t="s">
        <v>632</v>
      </c>
      <c r="F6" s="16" t="s">
        <v>153</v>
      </c>
      <c r="G6" s="22" t="s">
        <v>220</v>
      </c>
      <c r="H6" s="27" t="s">
        <v>41</v>
      </c>
      <c r="I6" s="22" t="s">
        <v>41</v>
      </c>
      <c r="J6" s="17"/>
      <c r="K6" s="22" t="s">
        <v>144</v>
      </c>
      <c r="L6" s="22" t="s">
        <v>25</v>
      </c>
      <c r="M6" s="27" t="s">
        <v>139</v>
      </c>
      <c r="N6" s="17"/>
      <c r="O6" s="22" t="s">
        <v>42</v>
      </c>
      <c r="P6" s="22" t="s">
        <v>45</v>
      </c>
      <c r="Q6" s="27" t="s">
        <v>221</v>
      </c>
      <c r="R6" s="17"/>
      <c r="S6" s="34" t="str">
        <f>"680,0"</f>
        <v>680,0</v>
      </c>
      <c r="T6" s="17" t="str">
        <f>"397,8340"</f>
        <v>397,8340</v>
      </c>
      <c r="U6" s="16"/>
    </row>
    <row r="7" spans="1:21">
      <c r="A7" s="21" t="s">
        <v>214</v>
      </c>
      <c r="B7" s="20" t="s">
        <v>222</v>
      </c>
      <c r="C7" s="20" t="s">
        <v>223</v>
      </c>
      <c r="D7" s="20" t="s">
        <v>224</v>
      </c>
      <c r="E7" s="20" t="s">
        <v>632</v>
      </c>
      <c r="F7" s="20" t="s">
        <v>570</v>
      </c>
      <c r="G7" s="26" t="s">
        <v>163</v>
      </c>
      <c r="H7" s="25" t="s">
        <v>164</v>
      </c>
      <c r="I7" s="25" t="s">
        <v>164</v>
      </c>
      <c r="J7" s="21"/>
      <c r="K7" s="26" t="s">
        <v>32</v>
      </c>
      <c r="L7" s="26" t="s">
        <v>23</v>
      </c>
      <c r="M7" s="25" t="s">
        <v>132</v>
      </c>
      <c r="N7" s="21"/>
      <c r="O7" s="25" t="s">
        <v>55</v>
      </c>
      <c r="P7" s="25" t="s">
        <v>55</v>
      </c>
      <c r="Q7" s="25" t="s">
        <v>55</v>
      </c>
      <c r="R7" s="21"/>
      <c r="S7" s="36">
        <v>0</v>
      </c>
      <c r="T7" s="21" t="str">
        <f>"0,0000"</f>
        <v>0,0000</v>
      </c>
      <c r="U7" s="20" t="s">
        <v>48</v>
      </c>
    </row>
    <row r="8" spans="1:21">
      <c r="B8" s="5" t="s">
        <v>73</v>
      </c>
    </row>
    <row r="9" spans="1:21" ht="16">
      <c r="A9" s="53" t="s">
        <v>35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21">
      <c r="A10" s="8" t="s">
        <v>72</v>
      </c>
      <c r="B10" s="7" t="s">
        <v>225</v>
      </c>
      <c r="C10" s="7" t="s">
        <v>226</v>
      </c>
      <c r="D10" s="7" t="s">
        <v>227</v>
      </c>
      <c r="E10" s="7" t="s">
        <v>634</v>
      </c>
      <c r="F10" s="7" t="s">
        <v>53</v>
      </c>
      <c r="G10" s="14" t="s">
        <v>33</v>
      </c>
      <c r="H10" s="14" t="s">
        <v>34</v>
      </c>
      <c r="I10" s="15" t="s">
        <v>43</v>
      </c>
      <c r="J10" s="8"/>
      <c r="K10" s="14" t="s">
        <v>32</v>
      </c>
      <c r="L10" s="14" t="s">
        <v>23</v>
      </c>
      <c r="M10" s="8"/>
      <c r="N10" s="8"/>
      <c r="O10" s="14" t="s">
        <v>40</v>
      </c>
      <c r="P10" s="15" t="s">
        <v>228</v>
      </c>
      <c r="Q10" s="15" t="s">
        <v>228</v>
      </c>
      <c r="R10" s="8"/>
      <c r="S10" s="33" t="str">
        <f>"570,0"</f>
        <v>570,0</v>
      </c>
      <c r="T10" s="8" t="str">
        <f>"344,7266"</f>
        <v>344,7266</v>
      </c>
      <c r="U10" s="7" t="s">
        <v>622</v>
      </c>
    </row>
    <row r="11" spans="1:21">
      <c r="B11" s="5" t="s">
        <v>73</v>
      </c>
    </row>
  </sheetData>
  <mergeCells count="15">
    <mergeCell ref="A9:R9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9" style="5" bestFit="1" customWidth="1"/>
    <col min="4" max="4" width="17.5" style="5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30" style="5" bestFit="1" customWidth="1"/>
    <col min="18" max="16384" width="9.1640625" style="3"/>
  </cols>
  <sheetData>
    <row r="1" spans="1:17" s="2" customFormat="1" ht="29" customHeight="1">
      <c r="A1" s="40" t="s">
        <v>613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</v>
      </c>
      <c r="P3" s="52" t="s">
        <v>3</v>
      </c>
      <c r="Q3" s="56" t="s">
        <v>2</v>
      </c>
    </row>
    <row r="4" spans="1:17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1"/>
      <c r="P4" s="51"/>
      <c r="Q4" s="57"/>
    </row>
    <row r="5" spans="1:17" ht="16">
      <c r="A5" s="58" t="s">
        <v>84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8" t="s">
        <v>72</v>
      </c>
      <c r="B6" s="7" t="s">
        <v>92</v>
      </c>
      <c r="C6" s="7" t="s">
        <v>93</v>
      </c>
      <c r="D6" s="7" t="s">
        <v>94</v>
      </c>
      <c r="E6" s="7" t="s">
        <v>632</v>
      </c>
      <c r="F6" s="7" t="s">
        <v>16</v>
      </c>
      <c r="G6" s="14" t="s">
        <v>90</v>
      </c>
      <c r="H6" s="14" t="s">
        <v>96</v>
      </c>
      <c r="I6" s="15" t="s">
        <v>97</v>
      </c>
      <c r="J6" s="8"/>
      <c r="K6" s="14" t="s">
        <v>31</v>
      </c>
      <c r="L6" s="15" t="s">
        <v>98</v>
      </c>
      <c r="M6" s="14" t="s">
        <v>17</v>
      </c>
      <c r="N6" s="8"/>
      <c r="O6" s="8" t="str">
        <f>"185,0"</f>
        <v>185,0</v>
      </c>
      <c r="P6" s="8" t="str">
        <f>"205,2205"</f>
        <v>205,2205</v>
      </c>
      <c r="Q6" s="7" t="s">
        <v>563</v>
      </c>
    </row>
    <row r="7" spans="1:17">
      <c r="B7" s="5" t="s">
        <v>73</v>
      </c>
    </row>
    <row r="8" spans="1:17" ht="16">
      <c r="A8" s="53" t="s">
        <v>120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8" t="s">
        <v>72</v>
      </c>
      <c r="B9" s="7" t="s">
        <v>323</v>
      </c>
      <c r="C9" s="7" t="s">
        <v>593</v>
      </c>
      <c r="D9" s="7" t="s">
        <v>324</v>
      </c>
      <c r="E9" s="7" t="s">
        <v>635</v>
      </c>
      <c r="F9" s="7" t="s">
        <v>16</v>
      </c>
      <c r="G9" s="14" t="s">
        <v>90</v>
      </c>
      <c r="H9" s="14" t="s">
        <v>96</v>
      </c>
      <c r="I9" s="15" t="s">
        <v>97</v>
      </c>
      <c r="J9" s="8"/>
      <c r="K9" s="14" t="s">
        <v>19</v>
      </c>
      <c r="L9" s="15" t="s">
        <v>23</v>
      </c>
      <c r="M9" s="15" t="s">
        <v>138</v>
      </c>
      <c r="N9" s="8"/>
      <c r="O9" s="8" t="str">
        <f>"205,0"</f>
        <v>205,0</v>
      </c>
      <c r="P9" s="8" t="str">
        <f>"205,2050"</f>
        <v>205,2050</v>
      </c>
      <c r="Q9" s="7"/>
    </row>
    <row r="10" spans="1:17">
      <c r="B10" s="5" t="s">
        <v>73</v>
      </c>
    </row>
    <row r="11" spans="1:17" ht="16">
      <c r="A11" s="53" t="s">
        <v>12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7">
      <c r="A12" s="8" t="s">
        <v>72</v>
      </c>
      <c r="B12" s="7" t="s">
        <v>452</v>
      </c>
      <c r="C12" s="7" t="s">
        <v>453</v>
      </c>
      <c r="D12" s="7" t="s">
        <v>454</v>
      </c>
      <c r="E12" s="7" t="s">
        <v>634</v>
      </c>
      <c r="F12" s="7" t="s">
        <v>16</v>
      </c>
      <c r="G12" s="14" t="s">
        <v>322</v>
      </c>
      <c r="H12" s="14" t="s">
        <v>305</v>
      </c>
      <c r="I12" s="14" t="s">
        <v>103</v>
      </c>
      <c r="J12" s="8"/>
      <c r="K12" s="14" t="s">
        <v>21</v>
      </c>
      <c r="L12" s="14" t="s">
        <v>22</v>
      </c>
      <c r="M12" s="14" t="s">
        <v>31</v>
      </c>
      <c r="N12" s="8"/>
      <c r="O12" s="8" t="str">
        <f>"157,5"</f>
        <v>157,5</v>
      </c>
      <c r="P12" s="8" t="str">
        <f>"166,6439"</f>
        <v>166,6439</v>
      </c>
      <c r="Q12" s="7" t="s">
        <v>562</v>
      </c>
    </row>
    <row r="13" spans="1:17">
      <c r="B13" s="5" t="s">
        <v>73</v>
      </c>
    </row>
    <row r="14" spans="1:17" ht="16">
      <c r="A14" s="53" t="s">
        <v>12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7">
      <c r="A15" s="8" t="s">
        <v>72</v>
      </c>
      <c r="B15" s="7" t="s">
        <v>455</v>
      </c>
      <c r="C15" s="7" t="s">
        <v>456</v>
      </c>
      <c r="D15" s="7" t="s">
        <v>457</v>
      </c>
      <c r="E15" s="7" t="s">
        <v>632</v>
      </c>
      <c r="F15" s="7" t="s">
        <v>554</v>
      </c>
      <c r="G15" s="14" t="s">
        <v>114</v>
      </c>
      <c r="H15" s="14" t="s">
        <v>17</v>
      </c>
      <c r="I15" s="15" t="s">
        <v>130</v>
      </c>
      <c r="J15" s="8"/>
      <c r="K15" s="14" t="s">
        <v>24</v>
      </c>
      <c r="L15" s="14" t="s">
        <v>25</v>
      </c>
      <c r="M15" s="15" t="s">
        <v>139</v>
      </c>
      <c r="N15" s="8"/>
      <c r="O15" s="8" t="str">
        <f>"290,0"</f>
        <v>290,0</v>
      </c>
      <c r="P15" s="8" t="str">
        <f>"217,0360"</f>
        <v>217,0360</v>
      </c>
      <c r="Q15" s="28" t="s">
        <v>566</v>
      </c>
    </row>
    <row r="16" spans="1:17">
      <c r="B16" s="5" t="s">
        <v>73</v>
      </c>
    </row>
    <row r="17" spans="1:17" ht="16">
      <c r="A17" s="53" t="s">
        <v>125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7">
      <c r="A18" s="17" t="s">
        <v>72</v>
      </c>
      <c r="B18" s="16" t="s">
        <v>458</v>
      </c>
      <c r="C18" s="16" t="s">
        <v>459</v>
      </c>
      <c r="D18" s="16" t="s">
        <v>460</v>
      </c>
      <c r="E18" s="16" t="s">
        <v>632</v>
      </c>
      <c r="F18" s="16" t="s">
        <v>16</v>
      </c>
      <c r="G18" s="22" t="s">
        <v>244</v>
      </c>
      <c r="H18" s="27" t="s">
        <v>131</v>
      </c>
      <c r="I18" s="27" t="s">
        <v>131</v>
      </c>
      <c r="J18" s="17"/>
      <c r="K18" s="22" t="s">
        <v>34</v>
      </c>
      <c r="L18" s="22" t="s">
        <v>43</v>
      </c>
      <c r="M18" s="22" t="s">
        <v>163</v>
      </c>
      <c r="N18" s="17"/>
      <c r="O18" s="17" t="str">
        <f>"340,0"</f>
        <v>340,0</v>
      </c>
      <c r="P18" s="17" t="str">
        <f>"211,2590"</f>
        <v>211,2590</v>
      </c>
      <c r="Q18" s="16" t="s">
        <v>149</v>
      </c>
    </row>
    <row r="19" spans="1:17">
      <c r="A19" s="21" t="s">
        <v>72</v>
      </c>
      <c r="B19" s="20" t="s">
        <v>245</v>
      </c>
      <c r="C19" s="20" t="s">
        <v>246</v>
      </c>
      <c r="D19" s="20" t="s">
        <v>247</v>
      </c>
      <c r="E19" s="20" t="s">
        <v>637</v>
      </c>
      <c r="F19" s="20" t="s">
        <v>53</v>
      </c>
      <c r="G19" s="26" t="s">
        <v>131</v>
      </c>
      <c r="H19" s="25" t="s">
        <v>19</v>
      </c>
      <c r="I19" s="25" t="s">
        <v>190</v>
      </c>
      <c r="J19" s="21"/>
      <c r="K19" s="26" t="s">
        <v>179</v>
      </c>
      <c r="L19" s="25" t="s">
        <v>248</v>
      </c>
      <c r="M19" s="21"/>
      <c r="N19" s="21"/>
      <c r="O19" s="21" t="str">
        <f>"340,0"</f>
        <v>340,0</v>
      </c>
      <c r="P19" s="21" t="str">
        <f>"251,2447"</f>
        <v>251,2447</v>
      </c>
      <c r="Q19" s="20"/>
    </row>
    <row r="20" spans="1:17">
      <c r="B20" s="5" t="s">
        <v>73</v>
      </c>
    </row>
  </sheetData>
  <mergeCells count="17">
    <mergeCell ref="A8:N8"/>
    <mergeCell ref="A11:N11"/>
    <mergeCell ref="A14:N14"/>
    <mergeCell ref="A17:N17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17" style="5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5" style="5" customWidth="1"/>
    <col min="18" max="16384" width="9.1640625" style="3"/>
  </cols>
  <sheetData>
    <row r="1" spans="1:17" s="2" customFormat="1" ht="29" customHeight="1">
      <c r="A1" s="40" t="s">
        <v>614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</v>
      </c>
      <c r="P3" s="52" t="s">
        <v>3</v>
      </c>
      <c r="Q3" s="56" t="s">
        <v>2</v>
      </c>
    </row>
    <row r="4" spans="1:17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1"/>
      <c r="P4" s="51"/>
      <c r="Q4" s="57"/>
    </row>
    <row r="5" spans="1:17" ht="16">
      <c r="A5" s="58" t="s">
        <v>35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17" t="s">
        <v>72</v>
      </c>
      <c r="B6" s="16" t="s">
        <v>433</v>
      </c>
      <c r="C6" s="16" t="s">
        <v>434</v>
      </c>
      <c r="D6" s="16" t="s">
        <v>435</v>
      </c>
      <c r="E6" s="16" t="s">
        <v>632</v>
      </c>
      <c r="F6" s="16" t="s">
        <v>39</v>
      </c>
      <c r="G6" s="22" t="s">
        <v>25</v>
      </c>
      <c r="H6" s="22" t="s">
        <v>172</v>
      </c>
      <c r="I6" s="22" t="s">
        <v>286</v>
      </c>
      <c r="J6" s="17"/>
      <c r="K6" s="22" t="s">
        <v>58</v>
      </c>
      <c r="L6" s="27" t="s">
        <v>436</v>
      </c>
      <c r="M6" s="22" t="s">
        <v>436</v>
      </c>
      <c r="N6" s="17"/>
      <c r="O6" s="17" t="str">
        <f>"505,0"</f>
        <v>505,0</v>
      </c>
      <c r="P6" s="17" t="str">
        <f>"286,5622"</f>
        <v>286,5622</v>
      </c>
      <c r="Q6" s="30" t="s">
        <v>567</v>
      </c>
    </row>
    <row r="7" spans="1:17">
      <c r="A7" s="21" t="s">
        <v>72</v>
      </c>
      <c r="B7" s="20" t="s">
        <v>225</v>
      </c>
      <c r="C7" s="20" t="s">
        <v>226</v>
      </c>
      <c r="D7" s="20" t="s">
        <v>227</v>
      </c>
      <c r="E7" s="20" t="s">
        <v>634</v>
      </c>
      <c r="F7" s="20" t="s">
        <v>53</v>
      </c>
      <c r="G7" s="26" t="s">
        <v>32</v>
      </c>
      <c r="H7" s="26" t="s">
        <v>23</v>
      </c>
      <c r="I7" s="21"/>
      <c r="J7" s="21"/>
      <c r="K7" s="26" t="s">
        <v>40</v>
      </c>
      <c r="L7" s="25" t="s">
        <v>228</v>
      </c>
      <c r="M7" s="25" t="s">
        <v>228</v>
      </c>
      <c r="N7" s="21"/>
      <c r="O7" s="21" t="str">
        <f>"370,0"</f>
        <v>370,0</v>
      </c>
      <c r="P7" s="21" t="str">
        <f>"223,7699"</f>
        <v>223,7699</v>
      </c>
      <c r="Q7" s="20" t="s">
        <v>622</v>
      </c>
    </row>
    <row r="8" spans="1:17">
      <c r="B8" s="5" t="s">
        <v>73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1.1640625" style="6" customWidth="1"/>
    <col min="12" max="12" width="8.5" style="6" bestFit="1" customWidth="1"/>
    <col min="13" max="13" width="16.83203125" style="5" bestFit="1" customWidth="1"/>
    <col min="14" max="16384" width="9.1640625" style="3"/>
  </cols>
  <sheetData>
    <row r="1" spans="1:13" s="2" customFormat="1" ht="29" customHeight="1">
      <c r="A1" s="40" t="s">
        <v>615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9</v>
      </c>
      <c r="H3" s="52"/>
      <c r="I3" s="52"/>
      <c r="J3" s="52"/>
      <c r="K3" s="52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7"/>
    </row>
    <row r="5" spans="1:13" ht="16">
      <c r="A5" s="58" t="s">
        <v>84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92</v>
      </c>
      <c r="C6" s="7" t="s">
        <v>93</v>
      </c>
      <c r="D6" s="7" t="s">
        <v>94</v>
      </c>
      <c r="E6" s="7" t="s">
        <v>632</v>
      </c>
      <c r="F6" s="7" t="s">
        <v>16</v>
      </c>
      <c r="G6" s="14" t="s">
        <v>82</v>
      </c>
      <c r="H6" s="15" t="s">
        <v>95</v>
      </c>
      <c r="I6" s="14" t="s">
        <v>95</v>
      </c>
      <c r="J6" s="8"/>
      <c r="K6" s="8" t="str">
        <f>"97,5"</f>
        <v>97,5</v>
      </c>
      <c r="L6" s="8" t="str">
        <f>"108,1568"</f>
        <v>108,1568</v>
      </c>
      <c r="M6" s="28" t="s">
        <v>563</v>
      </c>
    </row>
    <row r="7" spans="1:13">
      <c r="B7" s="5" t="s">
        <v>73</v>
      </c>
    </row>
    <row r="8" spans="1:13" ht="16">
      <c r="A8" s="53" t="s">
        <v>120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72</v>
      </c>
      <c r="B9" s="7" t="s">
        <v>229</v>
      </c>
      <c r="C9" s="7" t="s">
        <v>230</v>
      </c>
      <c r="D9" s="7" t="s">
        <v>231</v>
      </c>
      <c r="E9" s="7" t="s">
        <v>634</v>
      </c>
      <c r="F9" s="7" t="s">
        <v>53</v>
      </c>
      <c r="G9" s="15" t="s">
        <v>114</v>
      </c>
      <c r="H9" s="14" t="s">
        <v>114</v>
      </c>
      <c r="I9" s="15" t="s">
        <v>17</v>
      </c>
      <c r="J9" s="8"/>
      <c r="K9" s="8" t="str">
        <f>"115,0"</f>
        <v>115,0</v>
      </c>
      <c r="L9" s="8" t="str">
        <f>"116,1622"</f>
        <v>116,1622</v>
      </c>
      <c r="M9" s="28" t="s">
        <v>564</v>
      </c>
    </row>
    <row r="10" spans="1:13">
      <c r="B10" s="5" t="s">
        <v>73</v>
      </c>
    </row>
    <row r="11" spans="1:13" ht="16">
      <c r="A11" s="53" t="s">
        <v>120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3">
      <c r="A12" s="8" t="s">
        <v>72</v>
      </c>
      <c r="B12" s="7" t="s">
        <v>461</v>
      </c>
      <c r="C12" s="7" t="s">
        <v>594</v>
      </c>
      <c r="D12" s="7" t="s">
        <v>462</v>
      </c>
      <c r="E12" s="7" t="s">
        <v>636</v>
      </c>
      <c r="F12" s="7" t="s">
        <v>153</v>
      </c>
      <c r="G12" s="14" t="s">
        <v>88</v>
      </c>
      <c r="H12" s="14" t="s">
        <v>82</v>
      </c>
      <c r="I12" s="15" t="s">
        <v>340</v>
      </c>
      <c r="J12" s="8"/>
      <c r="K12" s="8" t="str">
        <f>"95,0"</f>
        <v>95,0</v>
      </c>
      <c r="L12" s="8" t="str">
        <f>"83,5620"</f>
        <v>83,5620</v>
      </c>
      <c r="M12" s="28" t="s">
        <v>565</v>
      </c>
    </row>
    <row r="13" spans="1:13">
      <c r="B13" s="5" t="s">
        <v>73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15.5" style="5" bestFit="1" customWidth="1"/>
    <col min="5" max="5" width="13.33203125" style="5" customWidth="1"/>
    <col min="6" max="6" width="28.1640625" style="5" bestFit="1" customWidth="1"/>
    <col min="7" max="10" width="6" style="6" customWidth="1"/>
    <col min="11" max="11" width="11.6640625" style="32" customWidth="1"/>
    <col min="12" max="12" width="10.5" style="6" customWidth="1"/>
    <col min="13" max="13" width="23" style="5" customWidth="1"/>
    <col min="14" max="16384" width="9.1640625" style="3"/>
  </cols>
  <sheetData>
    <row r="1" spans="1:13" s="2" customFormat="1" ht="29" customHeight="1">
      <c r="A1" s="40" t="s">
        <v>616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9</v>
      </c>
      <c r="H3" s="52"/>
      <c r="I3" s="52"/>
      <c r="J3" s="52"/>
      <c r="K3" s="54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5"/>
      <c r="L4" s="51"/>
      <c r="M4" s="57"/>
    </row>
    <row r="5" spans="1:13" ht="16">
      <c r="A5" s="58" t="s">
        <v>160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214</v>
      </c>
      <c r="B6" s="7" t="s">
        <v>463</v>
      </c>
      <c r="C6" s="7" t="s">
        <v>464</v>
      </c>
      <c r="D6" s="7" t="s">
        <v>465</v>
      </c>
      <c r="E6" s="7" t="s">
        <v>632</v>
      </c>
      <c r="F6" s="7" t="s">
        <v>16</v>
      </c>
      <c r="G6" s="15" t="s">
        <v>34</v>
      </c>
      <c r="H6" s="15" t="s">
        <v>34</v>
      </c>
      <c r="I6" s="8"/>
      <c r="J6" s="8"/>
      <c r="K6" s="33">
        <v>0</v>
      </c>
      <c r="L6" s="8" t="str">
        <f>"0,0000"</f>
        <v>0,0000</v>
      </c>
      <c r="M6" s="7" t="s">
        <v>562</v>
      </c>
    </row>
    <row r="7" spans="1:13">
      <c r="B7" s="5" t="s">
        <v>73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3"/>
  <sheetViews>
    <sheetView topLeftCell="A43" workbookViewId="0">
      <selection activeCell="E76" sqref="E76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9" style="5" bestFit="1" customWidth="1"/>
    <col min="4" max="4" width="16.33203125" style="5" customWidth="1"/>
    <col min="5" max="5" width="14.6640625" style="5" customWidth="1"/>
    <col min="6" max="6" width="34" style="5" bestFit="1" customWidth="1"/>
    <col min="7" max="9" width="5.5" style="6" customWidth="1"/>
    <col min="10" max="10" width="4.83203125" style="6" customWidth="1"/>
    <col min="11" max="11" width="11.1640625" style="32" customWidth="1"/>
    <col min="12" max="12" width="8.5" style="6" bestFit="1" customWidth="1"/>
    <col min="13" max="13" width="31.1640625" style="5" bestFit="1" customWidth="1"/>
    <col min="14" max="16384" width="9.1640625" style="3"/>
  </cols>
  <sheetData>
    <row r="1" spans="1:13" s="2" customFormat="1" ht="29" customHeight="1">
      <c r="A1" s="40" t="s">
        <v>617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628</v>
      </c>
      <c r="B3" s="60" t="s">
        <v>0</v>
      </c>
      <c r="C3" s="50" t="s">
        <v>630</v>
      </c>
      <c r="D3" s="50" t="s">
        <v>8</v>
      </c>
      <c r="E3" s="52" t="s">
        <v>631</v>
      </c>
      <c r="F3" s="52" t="s">
        <v>5</v>
      </c>
      <c r="G3" s="52" t="s">
        <v>10</v>
      </c>
      <c r="H3" s="52"/>
      <c r="I3" s="52"/>
      <c r="J3" s="52"/>
      <c r="K3" s="54" t="s">
        <v>302</v>
      </c>
      <c r="L3" s="52" t="s">
        <v>3</v>
      </c>
      <c r="M3" s="56" t="s">
        <v>2</v>
      </c>
    </row>
    <row r="4" spans="1:13" s="1" customFormat="1" ht="21" customHeight="1" thickBot="1">
      <c r="A4" s="49"/>
      <c r="B4" s="61"/>
      <c r="C4" s="51"/>
      <c r="D4" s="51"/>
      <c r="E4" s="51"/>
      <c r="F4" s="51"/>
      <c r="G4" s="4">
        <v>1</v>
      </c>
      <c r="H4" s="4">
        <v>2</v>
      </c>
      <c r="I4" s="4">
        <v>3</v>
      </c>
      <c r="J4" s="4" t="s">
        <v>4</v>
      </c>
      <c r="K4" s="55"/>
      <c r="L4" s="51"/>
      <c r="M4" s="57"/>
    </row>
    <row r="5" spans="1:13" ht="16">
      <c r="A5" s="58" t="s">
        <v>74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8" t="s">
        <v>72</v>
      </c>
      <c r="B6" s="7" t="s">
        <v>303</v>
      </c>
      <c r="C6" s="7" t="s">
        <v>304</v>
      </c>
      <c r="D6" s="7" t="s">
        <v>77</v>
      </c>
      <c r="E6" s="7" t="s">
        <v>632</v>
      </c>
      <c r="F6" s="7" t="s">
        <v>554</v>
      </c>
      <c r="G6" s="14" t="s">
        <v>305</v>
      </c>
      <c r="H6" s="14" t="s">
        <v>124</v>
      </c>
      <c r="I6" s="14" t="s">
        <v>103</v>
      </c>
      <c r="J6" s="8"/>
      <c r="K6" s="33" t="str">
        <f>"47,5"</f>
        <v>47,5</v>
      </c>
      <c r="L6" s="8" t="str">
        <f>"56,2685"</f>
        <v>56,2685</v>
      </c>
      <c r="M6" s="7" t="s">
        <v>260</v>
      </c>
    </row>
    <row r="7" spans="1:13">
      <c r="B7" s="5" t="s">
        <v>73</v>
      </c>
    </row>
    <row r="8" spans="1:13" ht="16">
      <c r="A8" s="53" t="s">
        <v>84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7" t="s">
        <v>72</v>
      </c>
      <c r="B9" s="16" t="s">
        <v>85</v>
      </c>
      <c r="C9" s="16" t="s">
        <v>588</v>
      </c>
      <c r="D9" s="16" t="s">
        <v>86</v>
      </c>
      <c r="E9" s="16" t="s">
        <v>635</v>
      </c>
      <c r="F9" s="16" t="s">
        <v>53</v>
      </c>
      <c r="G9" s="22" t="s">
        <v>89</v>
      </c>
      <c r="H9" s="22" t="s">
        <v>81</v>
      </c>
      <c r="I9" s="22" t="s">
        <v>90</v>
      </c>
      <c r="J9" s="17"/>
      <c r="K9" s="34" t="str">
        <f>"60,0"</f>
        <v>60,0</v>
      </c>
      <c r="L9" s="17" t="str">
        <f>"67,4820"</f>
        <v>67,4820</v>
      </c>
      <c r="M9" s="16" t="s">
        <v>623</v>
      </c>
    </row>
    <row r="10" spans="1:13">
      <c r="A10" s="19" t="s">
        <v>72</v>
      </c>
      <c r="B10" s="18" t="s">
        <v>306</v>
      </c>
      <c r="C10" s="18" t="s">
        <v>307</v>
      </c>
      <c r="D10" s="18" t="s">
        <v>308</v>
      </c>
      <c r="E10" s="18" t="s">
        <v>632</v>
      </c>
      <c r="F10" s="18" t="s">
        <v>309</v>
      </c>
      <c r="G10" s="23" t="s">
        <v>90</v>
      </c>
      <c r="H10" s="23" t="s">
        <v>96</v>
      </c>
      <c r="I10" s="23" t="s">
        <v>116</v>
      </c>
      <c r="J10" s="19"/>
      <c r="K10" s="35" t="str">
        <f>"70,0"</f>
        <v>70,0</v>
      </c>
      <c r="L10" s="19" t="str">
        <f>"78,4840"</f>
        <v>78,4840</v>
      </c>
      <c r="M10" s="18"/>
    </row>
    <row r="11" spans="1:13">
      <c r="A11" s="19" t="s">
        <v>215</v>
      </c>
      <c r="B11" s="18" t="s">
        <v>92</v>
      </c>
      <c r="C11" s="18" t="s">
        <v>93</v>
      </c>
      <c r="D11" s="18" t="s">
        <v>94</v>
      </c>
      <c r="E11" s="18" t="s">
        <v>632</v>
      </c>
      <c r="F11" s="18" t="s">
        <v>16</v>
      </c>
      <c r="G11" s="23" t="s">
        <v>90</v>
      </c>
      <c r="H11" s="23" t="s">
        <v>96</v>
      </c>
      <c r="I11" s="24" t="s">
        <v>97</v>
      </c>
      <c r="J11" s="19"/>
      <c r="K11" s="35" t="str">
        <f>"65,0"</f>
        <v>65,0</v>
      </c>
      <c r="L11" s="19" t="str">
        <f>"72,1045"</f>
        <v>72,1045</v>
      </c>
      <c r="M11" s="18" t="s">
        <v>563</v>
      </c>
    </row>
    <row r="12" spans="1:13">
      <c r="A12" s="21" t="s">
        <v>214</v>
      </c>
      <c r="B12" s="20" t="s">
        <v>310</v>
      </c>
      <c r="C12" s="20" t="s">
        <v>311</v>
      </c>
      <c r="D12" s="20" t="s">
        <v>312</v>
      </c>
      <c r="E12" s="20" t="s">
        <v>632</v>
      </c>
      <c r="F12" s="20" t="s">
        <v>153</v>
      </c>
      <c r="G12" s="25" t="s">
        <v>104</v>
      </c>
      <c r="H12" s="25" t="s">
        <v>104</v>
      </c>
      <c r="I12" s="25" t="s">
        <v>104</v>
      </c>
      <c r="J12" s="21"/>
      <c r="K12" s="36">
        <v>0</v>
      </c>
      <c r="L12" s="21" t="str">
        <f>"0,0000"</f>
        <v>0,0000</v>
      </c>
      <c r="M12" s="20" t="s">
        <v>313</v>
      </c>
    </row>
    <row r="13" spans="1:13">
      <c r="B13" s="5" t="s">
        <v>73</v>
      </c>
    </row>
    <row r="14" spans="1:13" ht="16">
      <c r="A14" s="53" t="s">
        <v>109</v>
      </c>
      <c r="B14" s="53"/>
      <c r="C14" s="53"/>
      <c r="D14" s="53"/>
      <c r="E14" s="53"/>
      <c r="F14" s="53"/>
      <c r="G14" s="53"/>
      <c r="H14" s="53"/>
      <c r="I14" s="53"/>
      <c r="J14" s="53"/>
    </row>
    <row r="15" spans="1:13">
      <c r="A15" s="17" t="s">
        <v>72</v>
      </c>
      <c r="B15" s="16" t="s">
        <v>314</v>
      </c>
      <c r="C15" s="16" t="s">
        <v>595</v>
      </c>
      <c r="D15" s="16" t="s">
        <v>315</v>
      </c>
      <c r="E15" s="16" t="s">
        <v>636</v>
      </c>
      <c r="F15" s="16" t="s">
        <v>316</v>
      </c>
      <c r="G15" s="22" t="s">
        <v>317</v>
      </c>
      <c r="H15" s="22" t="s">
        <v>318</v>
      </c>
      <c r="I15" s="27" t="s">
        <v>305</v>
      </c>
      <c r="J15" s="17"/>
      <c r="K15" s="34" t="str">
        <f>"40,0"</f>
        <v>40,0</v>
      </c>
      <c r="L15" s="17" t="str">
        <f>"41,7560"</f>
        <v>41,7560</v>
      </c>
      <c r="M15" s="16"/>
    </row>
    <row r="16" spans="1:13">
      <c r="A16" s="19" t="s">
        <v>72</v>
      </c>
      <c r="B16" s="18" t="s">
        <v>110</v>
      </c>
      <c r="C16" s="18" t="s">
        <v>589</v>
      </c>
      <c r="D16" s="18" t="s">
        <v>111</v>
      </c>
      <c r="E16" s="18" t="s">
        <v>635</v>
      </c>
      <c r="F16" s="18" t="s">
        <v>112</v>
      </c>
      <c r="G16" s="23" t="s">
        <v>115</v>
      </c>
      <c r="H16" s="23" t="s">
        <v>97</v>
      </c>
      <c r="I16" s="23" t="s">
        <v>116</v>
      </c>
      <c r="J16" s="19"/>
      <c r="K16" s="35" t="str">
        <f>"70,0"</f>
        <v>70,0</v>
      </c>
      <c r="L16" s="19" t="str">
        <f>"74,4660"</f>
        <v>74,4660</v>
      </c>
      <c r="M16" s="31" t="s">
        <v>571</v>
      </c>
    </row>
    <row r="17" spans="1:13">
      <c r="A17" s="21" t="s">
        <v>72</v>
      </c>
      <c r="B17" s="20" t="s">
        <v>319</v>
      </c>
      <c r="C17" s="20" t="s">
        <v>320</v>
      </c>
      <c r="D17" s="20" t="s">
        <v>321</v>
      </c>
      <c r="E17" s="20" t="s">
        <v>632</v>
      </c>
      <c r="F17" s="20" t="s">
        <v>153</v>
      </c>
      <c r="G17" s="26" t="s">
        <v>322</v>
      </c>
      <c r="H17" s="26" t="s">
        <v>318</v>
      </c>
      <c r="I17" s="25" t="s">
        <v>305</v>
      </c>
      <c r="J17" s="21"/>
      <c r="K17" s="36" t="str">
        <f>"40,0"</f>
        <v>40,0</v>
      </c>
      <c r="L17" s="21" t="str">
        <f>"42,1200"</f>
        <v>42,1200</v>
      </c>
      <c r="M17" s="20" t="s">
        <v>291</v>
      </c>
    </row>
    <row r="18" spans="1:13">
      <c r="B18" s="5" t="s">
        <v>73</v>
      </c>
    </row>
    <row r="19" spans="1:13" ht="16">
      <c r="A19" s="53" t="s">
        <v>120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3">
      <c r="A20" s="17" t="s">
        <v>72</v>
      </c>
      <c r="B20" s="16" t="s">
        <v>323</v>
      </c>
      <c r="C20" s="16" t="s">
        <v>593</v>
      </c>
      <c r="D20" s="16" t="s">
        <v>324</v>
      </c>
      <c r="E20" s="16" t="s">
        <v>635</v>
      </c>
      <c r="F20" s="16" t="s">
        <v>16</v>
      </c>
      <c r="G20" s="22" t="s">
        <v>90</v>
      </c>
      <c r="H20" s="22" t="s">
        <v>96</v>
      </c>
      <c r="I20" s="27" t="s">
        <v>97</v>
      </c>
      <c r="J20" s="17"/>
      <c r="K20" s="34" t="str">
        <f>"65,0"</f>
        <v>65,0</v>
      </c>
      <c r="L20" s="17" t="str">
        <f>"65,0650"</f>
        <v>65,0650</v>
      </c>
      <c r="M20" s="16"/>
    </row>
    <row r="21" spans="1:13">
      <c r="A21" s="21" t="s">
        <v>72</v>
      </c>
      <c r="B21" s="20" t="s">
        <v>325</v>
      </c>
      <c r="C21" s="20" t="s">
        <v>326</v>
      </c>
      <c r="D21" s="20" t="s">
        <v>327</v>
      </c>
      <c r="E21" s="20" t="s">
        <v>632</v>
      </c>
      <c r="F21" s="20" t="s">
        <v>328</v>
      </c>
      <c r="G21" s="26" t="s">
        <v>96</v>
      </c>
      <c r="H21" s="26" t="s">
        <v>116</v>
      </c>
      <c r="I21" s="25" t="s">
        <v>79</v>
      </c>
      <c r="J21" s="21"/>
      <c r="K21" s="36" t="str">
        <f>"70,0"</f>
        <v>70,0</v>
      </c>
      <c r="L21" s="21" t="str">
        <f>"69,1320"</f>
        <v>69,1320</v>
      </c>
      <c r="M21" s="20"/>
    </row>
    <row r="22" spans="1:13">
      <c r="B22" s="5" t="s">
        <v>73</v>
      </c>
    </row>
    <row r="23" spans="1:13" ht="16">
      <c r="A23" s="53" t="s">
        <v>125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3">
      <c r="A24" s="8" t="s">
        <v>72</v>
      </c>
      <c r="B24" s="7" t="s">
        <v>126</v>
      </c>
      <c r="C24" s="7" t="s">
        <v>127</v>
      </c>
      <c r="D24" s="7" t="s">
        <v>128</v>
      </c>
      <c r="E24" s="7" t="s">
        <v>632</v>
      </c>
      <c r="F24" s="7" t="s">
        <v>129</v>
      </c>
      <c r="G24" s="14" t="s">
        <v>88</v>
      </c>
      <c r="H24" s="14" t="s">
        <v>102</v>
      </c>
      <c r="I24" s="14" t="s">
        <v>21</v>
      </c>
      <c r="J24" s="8"/>
      <c r="K24" s="33" t="str">
        <f>"90,0"</f>
        <v>90,0</v>
      </c>
      <c r="L24" s="8" t="str">
        <f>"68,0400"</f>
        <v>68,0400</v>
      </c>
      <c r="M24" s="28" t="s">
        <v>573</v>
      </c>
    </row>
    <row r="25" spans="1:13">
      <c r="B25" s="5" t="s">
        <v>73</v>
      </c>
    </row>
    <row r="26" spans="1:13" ht="16">
      <c r="A26" s="53" t="s">
        <v>109</v>
      </c>
      <c r="B26" s="53"/>
      <c r="C26" s="53"/>
      <c r="D26" s="53"/>
      <c r="E26" s="53"/>
      <c r="F26" s="53"/>
      <c r="G26" s="53"/>
      <c r="H26" s="53"/>
      <c r="I26" s="53"/>
      <c r="J26" s="53"/>
    </row>
    <row r="27" spans="1:13">
      <c r="A27" s="8" t="s">
        <v>72</v>
      </c>
      <c r="B27" s="7" t="s">
        <v>329</v>
      </c>
      <c r="C27" s="7" t="s">
        <v>596</v>
      </c>
      <c r="D27" s="7" t="s">
        <v>330</v>
      </c>
      <c r="E27" s="7" t="s">
        <v>639</v>
      </c>
      <c r="F27" s="7" t="s">
        <v>316</v>
      </c>
      <c r="G27" s="14" t="s">
        <v>104</v>
      </c>
      <c r="H27" s="14" t="s">
        <v>331</v>
      </c>
      <c r="I27" s="15" t="s">
        <v>90</v>
      </c>
      <c r="J27" s="8"/>
      <c r="K27" s="33" t="str">
        <f>"57,5"</f>
        <v>57,5</v>
      </c>
      <c r="L27" s="8" t="str">
        <f>"54,4180"</f>
        <v>54,4180</v>
      </c>
      <c r="M27" s="7"/>
    </row>
    <row r="28" spans="1:13">
      <c r="B28" s="5" t="s">
        <v>73</v>
      </c>
    </row>
    <row r="29" spans="1:13" ht="16">
      <c r="A29" s="53" t="s">
        <v>120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3">
      <c r="A30" s="8" t="s">
        <v>72</v>
      </c>
      <c r="B30" s="7" t="s">
        <v>133</v>
      </c>
      <c r="C30" s="7" t="s">
        <v>134</v>
      </c>
      <c r="D30" s="7" t="s">
        <v>135</v>
      </c>
      <c r="E30" s="7" t="s">
        <v>632</v>
      </c>
      <c r="F30" s="7" t="s">
        <v>136</v>
      </c>
      <c r="G30" s="14" t="s">
        <v>82</v>
      </c>
      <c r="H30" s="14" t="s">
        <v>105</v>
      </c>
      <c r="I30" s="14" t="s">
        <v>114</v>
      </c>
      <c r="J30" s="8"/>
      <c r="K30" s="33" t="str">
        <f>"115,0"</f>
        <v>115,0</v>
      </c>
      <c r="L30" s="8" t="str">
        <f>"100,6135"</f>
        <v>100,6135</v>
      </c>
      <c r="M30" s="7"/>
    </row>
    <row r="31" spans="1:13">
      <c r="B31" s="5" t="s">
        <v>73</v>
      </c>
    </row>
    <row r="32" spans="1:13" ht="16">
      <c r="A32" s="53" t="s">
        <v>12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3">
      <c r="A33" s="17" t="s">
        <v>72</v>
      </c>
      <c r="B33" s="16" t="s">
        <v>332</v>
      </c>
      <c r="C33" s="16" t="s">
        <v>597</v>
      </c>
      <c r="D33" s="16" t="s">
        <v>333</v>
      </c>
      <c r="E33" s="16" t="s">
        <v>636</v>
      </c>
      <c r="F33" s="16" t="s">
        <v>316</v>
      </c>
      <c r="G33" s="22" t="s">
        <v>87</v>
      </c>
      <c r="H33" s="22" t="s">
        <v>102</v>
      </c>
      <c r="I33" s="22" t="s">
        <v>21</v>
      </c>
      <c r="J33" s="17"/>
      <c r="K33" s="34" t="str">
        <f>"90,0"</f>
        <v>90,0</v>
      </c>
      <c r="L33" s="17" t="str">
        <f>"68,8545"</f>
        <v>68,8545</v>
      </c>
      <c r="M33" s="16"/>
    </row>
    <row r="34" spans="1:13">
      <c r="A34" s="19" t="s">
        <v>72</v>
      </c>
      <c r="B34" s="18" t="s">
        <v>334</v>
      </c>
      <c r="C34" s="18" t="s">
        <v>335</v>
      </c>
      <c r="D34" s="18" t="s">
        <v>336</v>
      </c>
      <c r="E34" s="18" t="s">
        <v>632</v>
      </c>
      <c r="F34" s="18" t="s">
        <v>16</v>
      </c>
      <c r="G34" s="23" t="s">
        <v>32</v>
      </c>
      <c r="H34" s="23" t="s">
        <v>23</v>
      </c>
      <c r="I34" s="23" t="s">
        <v>138</v>
      </c>
      <c r="J34" s="19"/>
      <c r="K34" s="35" t="str">
        <f>"155,0"</f>
        <v>155,0</v>
      </c>
      <c r="L34" s="19" t="str">
        <f>"116,3042"</f>
        <v>116,3042</v>
      </c>
      <c r="M34" s="18"/>
    </row>
    <row r="35" spans="1:13">
      <c r="A35" s="21" t="s">
        <v>215</v>
      </c>
      <c r="B35" s="20" t="s">
        <v>337</v>
      </c>
      <c r="C35" s="20" t="s">
        <v>338</v>
      </c>
      <c r="D35" s="20" t="s">
        <v>339</v>
      </c>
      <c r="E35" s="20" t="s">
        <v>632</v>
      </c>
      <c r="F35" s="20" t="s">
        <v>554</v>
      </c>
      <c r="G35" s="26" t="s">
        <v>95</v>
      </c>
      <c r="H35" s="26" t="s">
        <v>340</v>
      </c>
      <c r="I35" s="26" t="s">
        <v>341</v>
      </c>
      <c r="J35" s="21"/>
      <c r="K35" s="36" t="str">
        <f>"107,5"</f>
        <v>107,5</v>
      </c>
      <c r="L35" s="21" t="str">
        <f>"80,8615"</f>
        <v>80,8615</v>
      </c>
      <c r="M35" s="20" t="s">
        <v>260</v>
      </c>
    </row>
    <row r="36" spans="1:13">
      <c r="B36" s="5" t="s">
        <v>73</v>
      </c>
    </row>
    <row r="37" spans="1:13" ht="16">
      <c r="A37" s="53" t="s">
        <v>150</v>
      </c>
      <c r="B37" s="53"/>
      <c r="C37" s="53"/>
      <c r="D37" s="53"/>
      <c r="E37" s="53"/>
      <c r="F37" s="53"/>
      <c r="G37" s="53"/>
      <c r="H37" s="53"/>
      <c r="I37" s="53"/>
      <c r="J37" s="53"/>
    </row>
    <row r="38" spans="1:13">
      <c r="A38" s="17" t="s">
        <v>72</v>
      </c>
      <c r="B38" s="16" t="s">
        <v>342</v>
      </c>
      <c r="C38" s="16" t="s">
        <v>598</v>
      </c>
      <c r="D38" s="16" t="s">
        <v>343</v>
      </c>
      <c r="E38" s="16" t="s">
        <v>635</v>
      </c>
      <c r="F38" s="16" t="s">
        <v>16</v>
      </c>
      <c r="G38" s="22" t="s">
        <v>105</v>
      </c>
      <c r="H38" s="27" t="s">
        <v>341</v>
      </c>
      <c r="I38" s="22" t="s">
        <v>341</v>
      </c>
      <c r="J38" s="17"/>
      <c r="K38" s="34" t="str">
        <f>"107,5"</f>
        <v>107,5</v>
      </c>
      <c r="L38" s="17" t="str">
        <f>"76,1799"</f>
        <v>76,1799</v>
      </c>
      <c r="M38" s="16" t="s">
        <v>344</v>
      </c>
    </row>
    <row r="39" spans="1:13">
      <c r="A39" s="19" t="s">
        <v>72</v>
      </c>
      <c r="B39" s="18" t="s">
        <v>345</v>
      </c>
      <c r="C39" s="18" t="s">
        <v>346</v>
      </c>
      <c r="D39" s="18" t="s">
        <v>347</v>
      </c>
      <c r="E39" s="18" t="s">
        <v>632</v>
      </c>
      <c r="F39" s="18" t="s">
        <v>16</v>
      </c>
      <c r="G39" s="23" t="s">
        <v>131</v>
      </c>
      <c r="H39" s="23" t="s">
        <v>32</v>
      </c>
      <c r="I39" s="24" t="s">
        <v>138</v>
      </c>
      <c r="J39" s="19"/>
      <c r="K39" s="35" t="str">
        <f>"145,0"</f>
        <v>145,0</v>
      </c>
      <c r="L39" s="19" t="str">
        <f>"105,1830"</f>
        <v>105,1830</v>
      </c>
      <c r="M39" s="18" t="s">
        <v>562</v>
      </c>
    </row>
    <row r="40" spans="1:13">
      <c r="A40" s="19" t="s">
        <v>215</v>
      </c>
      <c r="B40" s="18" t="s">
        <v>348</v>
      </c>
      <c r="C40" s="18" t="s">
        <v>349</v>
      </c>
      <c r="D40" s="18" t="s">
        <v>350</v>
      </c>
      <c r="E40" s="18" t="s">
        <v>632</v>
      </c>
      <c r="F40" s="18" t="s">
        <v>53</v>
      </c>
      <c r="G40" s="23" t="s">
        <v>114</v>
      </c>
      <c r="H40" s="23" t="s">
        <v>98</v>
      </c>
      <c r="I40" s="23" t="s">
        <v>130</v>
      </c>
      <c r="J40" s="19"/>
      <c r="K40" s="35" t="str">
        <f>"122,5"</f>
        <v>122,5</v>
      </c>
      <c r="L40" s="19" t="str">
        <f>"85,1926"</f>
        <v>85,1926</v>
      </c>
      <c r="M40" s="31" t="s">
        <v>564</v>
      </c>
    </row>
    <row r="41" spans="1:13">
      <c r="A41" s="19" t="s">
        <v>216</v>
      </c>
      <c r="B41" s="18" t="s">
        <v>351</v>
      </c>
      <c r="C41" s="18" t="s">
        <v>352</v>
      </c>
      <c r="D41" s="18" t="s">
        <v>353</v>
      </c>
      <c r="E41" s="18" t="s">
        <v>632</v>
      </c>
      <c r="F41" s="18" t="s">
        <v>53</v>
      </c>
      <c r="G41" s="23" t="s">
        <v>21</v>
      </c>
      <c r="H41" s="23" t="s">
        <v>105</v>
      </c>
      <c r="I41" s="23" t="s">
        <v>31</v>
      </c>
      <c r="J41" s="19"/>
      <c r="K41" s="35" t="str">
        <f>"110,0"</f>
        <v>110,0</v>
      </c>
      <c r="L41" s="19" t="str">
        <f>"75,8120"</f>
        <v>75,8120</v>
      </c>
      <c r="M41" s="18"/>
    </row>
    <row r="42" spans="1:13">
      <c r="A42" s="21" t="s">
        <v>430</v>
      </c>
      <c r="B42" s="20" t="s">
        <v>354</v>
      </c>
      <c r="C42" s="20" t="s">
        <v>355</v>
      </c>
      <c r="D42" s="20" t="s">
        <v>356</v>
      </c>
      <c r="E42" s="20" t="s">
        <v>632</v>
      </c>
      <c r="F42" s="20" t="s">
        <v>16</v>
      </c>
      <c r="G42" s="26" t="s">
        <v>87</v>
      </c>
      <c r="H42" s="26" t="s">
        <v>82</v>
      </c>
      <c r="I42" s="26" t="s">
        <v>22</v>
      </c>
      <c r="J42" s="21"/>
      <c r="K42" s="36" t="str">
        <f>"100,0"</f>
        <v>100,0</v>
      </c>
      <c r="L42" s="21" t="str">
        <f>"72,7900"</f>
        <v>72,7900</v>
      </c>
      <c r="M42" s="20" t="s">
        <v>572</v>
      </c>
    </row>
    <row r="43" spans="1:13">
      <c r="B43" s="5" t="s">
        <v>73</v>
      </c>
    </row>
    <row r="44" spans="1:13" ht="16">
      <c r="A44" s="53" t="s">
        <v>160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3">
      <c r="A45" s="17" t="s">
        <v>72</v>
      </c>
      <c r="B45" s="16" t="s">
        <v>357</v>
      </c>
      <c r="C45" s="16" t="s">
        <v>358</v>
      </c>
      <c r="D45" s="16" t="s">
        <v>359</v>
      </c>
      <c r="E45" s="16" t="s">
        <v>632</v>
      </c>
      <c r="F45" s="16" t="s">
        <v>360</v>
      </c>
      <c r="G45" s="22" t="s">
        <v>24</v>
      </c>
      <c r="H45" s="22" t="s">
        <v>361</v>
      </c>
      <c r="I45" s="22" t="s">
        <v>362</v>
      </c>
      <c r="J45" s="17"/>
      <c r="K45" s="34" t="str">
        <f>"172,5"</f>
        <v>172,5</v>
      </c>
      <c r="L45" s="17" t="str">
        <f>"114,5572"</f>
        <v>114,5572</v>
      </c>
      <c r="M45" s="16" t="s">
        <v>624</v>
      </c>
    </row>
    <row r="46" spans="1:13">
      <c r="A46" s="19" t="s">
        <v>215</v>
      </c>
      <c r="B46" s="18" t="s">
        <v>363</v>
      </c>
      <c r="C46" s="18" t="s">
        <v>364</v>
      </c>
      <c r="D46" s="18" t="s">
        <v>365</v>
      </c>
      <c r="E46" s="18" t="s">
        <v>632</v>
      </c>
      <c r="F46" s="18" t="s">
        <v>360</v>
      </c>
      <c r="G46" s="23" t="s">
        <v>131</v>
      </c>
      <c r="H46" s="23" t="s">
        <v>32</v>
      </c>
      <c r="I46" s="24" t="s">
        <v>23</v>
      </c>
      <c r="J46" s="19"/>
      <c r="K46" s="35" t="str">
        <f>"145,0"</f>
        <v>145,0</v>
      </c>
      <c r="L46" s="19" t="str">
        <f>"95,8740"</f>
        <v>95,8740</v>
      </c>
      <c r="M46" s="18"/>
    </row>
    <row r="47" spans="1:13">
      <c r="A47" s="19" t="s">
        <v>216</v>
      </c>
      <c r="B47" s="18" t="s">
        <v>366</v>
      </c>
      <c r="C47" s="18" t="s">
        <v>367</v>
      </c>
      <c r="D47" s="18" t="s">
        <v>368</v>
      </c>
      <c r="E47" s="18" t="s">
        <v>632</v>
      </c>
      <c r="F47" s="18" t="s">
        <v>129</v>
      </c>
      <c r="G47" s="23" t="s">
        <v>131</v>
      </c>
      <c r="H47" s="23" t="s">
        <v>19</v>
      </c>
      <c r="I47" s="23" t="s">
        <v>190</v>
      </c>
      <c r="J47" s="19"/>
      <c r="K47" s="35" t="str">
        <f>"142,5"</f>
        <v>142,5</v>
      </c>
      <c r="L47" s="19" t="str">
        <f>"92,2901"</f>
        <v>92,2901</v>
      </c>
      <c r="M47" s="18" t="s">
        <v>625</v>
      </c>
    </row>
    <row r="48" spans="1:13">
      <c r="A48" s="19" t="s">
        <v>430</v>
      </c>
      <c r="B48" s="18" t="s">
        <v>369</v>
      </c>
      <c r="C48" s="18" t="s">
        <v>370</v>
      </c>
      <c r="D48" s="18" t="s">
        <v>371</v>
      </c>
      <c r="E48" s="18" t="s">
        <v>632</v>
      </c>
      <c r="F48" s="18" t="s">
        <v>554</v>
      </c>
      <c r="G48" s="23" t="s">
        <v>130</v>
      </c>
      <c r="H48" s="23" t="s">
        <v>372</v>
      </c>
      <c r="I48" s="24" t="s">
        <v>30</v>
      </c>
      <c r="J48" s="19"/>
      <c r="K48" s="35" t="str">
        <f>"127,5"</f>
        <v>127,5</v>
      </c>
      <c r="L48" s="19" t="str">
        <f>"85,1891"</f>
        <v>85,1891</v>
      </c>
      <c r="M48" s="18"/>
    </row>
    <row r="49" spans="1:13">
      <c r="A49" s="21" t="s">
        <v>72</v>
      </c>
      <c r="B49" s="20" t="s">
        <v>373</v>
      </c>
      <c r="C49" s="20" t="s">
        <v>374</v>
      </c>
      <c r="D49" s="20" t="s">
        <v>162</v>
      </c>
      <c r="E49" s="20" t="s">
        <v>634</v>
      </c>
      <c r="F49" s="20" t="s">
        <v>153</v>
      </c>
      <c r="G49" s="26" t="s">
        <v>18</v>
      </c>
      <c r="H49" s="26" t="s">
        <v>131</v>
      </c>
      <c r="I49" s="25" t="s">
        <v>234</v>
      </c>
      <c r="J49" s="21"/>
      <c r="K49" s="36" t="str">
        <f>"135,0"</f>
        <v>135,0</v>
      </c>
      <c r="L49" s="21" t="str">
        <f>"92,3911"</f>
        <v>92,3911</v>
      </c>
      <c r="M49" s="20"/>
    </row>
    <row r="50" spans="1:13">
      <c r="B50" s="5" t="s">
        <v>73</v>
      </c>
    </row>
    <row r="51" spans="1:13" ht="16">
      <c r="A51" s="53" t="s">
        <v>125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3">
      <c r="A52" s="17" t="s">
        <v>72</v>
      </c>
      <c r="B52" s="16" t="s">
        <v>375</v>
      </c>
      <c r="C52" s="16" t="s">
        <v>599</v>
      </c>
      <c r="D52" s="16" t="s">
        <v>376</v>
      </c>
      <c r="E52" s="16" t="s">
        <v>639</v>
      </c>
      <c r="F52" s="16" t="s">
        <v>153</v>
      </c>
      <c r="G52" s="22" t="s">
        <v>88</v>
      </c>
      <c r="H52" s="22" t="s">
        <v>91</v>
      </c>
      <c r="I52" s="27" t="s">
        <v>82</v>
      </c>
      <c r="J52" s="17"/>
      <c r="K52" s="34" t="str">
        <f>"92,5"</f>
        <v>92,5</v>
      </c>
      <c r="L52" s="17" t="str">
        <f>"57,2066"</f>
        <v>57,2066</v>
      </c>
      <c r="M52" s="16" t="s">
        <v>565</v>
      </c>
    </row>
    <row r="53" spans="1:13">
      <c r="A53" s="19" t="s">
        <v>72</v>
      </c>
      <c r="B53" s="18" t="s">
        <v>377</v>
      </c>
      <c r="C53" s="18" t="s">
        <v>600</v>
      </c>
      <c r="D53" s="18" t="s">
        <v>378</v>
      </c>
      <c r="E53" s="18" t="s">
        <v>636</v>
      </c>
      <c r="F53" s="18" t="s">
        <v>16</v>
      </c>
      <c r="G53" s="23" t="s">
        <v>22</v>
      </c>
      <c r="H53" s="23" t="s">
        <v>341</v>
      </c>
      <c r="I53" s="24" t="s">
        <v>113</v>
      </c>
      <c r="J53" s="19"/>
      <c r="K53" s="35" t="str">
        <f>"107,5"</f>
        <v>107,5</v>
      </c>
      <c r="L53" s="19" t="str">
        <f>"67,8110"</f>
        <v>67,8110</v>
      </c>
      <c r="M53" s="31" t="s">
        <v>572</v>
      </c>
    </row>
    <row r="54" spans="1:13">
      <c r="A54" s="19" t="s">
        <v>215</v>
      </c>
      <c r="B54" s="18" t="s">
        <v>379</v>
      </c>
      <c r="C54" s="18" t="s">
        <v>601</v>
      </c>
      <c r="D54" s="18" t="s">
        <v>380</v>
      </c>
      <c r="E54" s="18" t="s">
        <v>636</v>
      </c>
      <c r="F54" s="18" t="s">
        <v>316</v>
      </c>
      <c r="G54" s="23" t="s">
        <v>21</v>
      </c>
      <c r="H54" s="23" t="s">
        <v>82</v>
      </c>
      <c r="I54" s="23" t="s">
        <v>22</v>
      </c>
      <c r="J54" s="19"/>
      <c r="K54" s="35" t="str">
        <f>"100,0"</f>
        <v>100,0</v>
      </c>
      <c r="L54" s="19" t="str">
        <f>"64,0650"</f>
        <v>64,0650</v>
      </c>
      <c r="M54" s="18" t="s">
        <v>626</v>
      </c>
    </row>
    <row r="55" spans="1:13">
      <c r="A55" s="19" t="s">
        <v>72</v>
      </c>
      <c r="B55" s="18" t="s">
        <v>168</v>
      </c>
      <c r="C55" s="18" t="s">
        <v>169</v>
      </c>
      <c r="D55" s="18" t="s">
        <v>170</v>
      </c>
      <c r="E55" s="18" t="s">
        <v>632</v>
      </c>
      <c r="F55" s="18" t="s">
        <v>136</v>
      </c>
      <c r="G55" s="23" t="s">
        <v>24</v>
      </c>
      <c r="H55" s="23" t="s">
        <v>25</v>
      </c>
      <c r="I55" s="24" t="s">
        <v>172</v>
      </c>
      <c r="J55" s="19"/>
      <c r="K55" s="35" t="str">
        <f>"170,0"</f>
        <v>170,0</v>
      </c>
      <c r="L55" s="19" t="str">
        <f>"104,6690"</f>
        <v>104,6690</v>
      </c>
      <c r="M55" s="18"/>
    </row>
    <row r="56" spans="1:13">
      <c r="A56" s="19" t="s">
        <v>215</v>
      </c>
      <c r="B56" s="18" t="s">
        <v>381</v>
      </c>
      <c r="C56" s="18" t="s">
        <v>382</v>
      </c>
      <c r="D56" s="18" t="s">
        <v>383</v>
      </c>
      <c r="E56" s="18" t="s">
        <v>632</v>
      </c>
      <c r="F56" s="18" t="s">
        <v>16</v>
      </c>
      <c r="G56" s="23" t="s">
        <v>372</v>
      </c>
      <c r="H56" s="23" t="s">
        <v>30</v>
      </c>
      <c r="I56" s="24" t="s">
        <v>131</v>
      </c>
      <c r="J56" s="19"/>
      <c r="K56" s="35" t="str">
        <f>"132,5"</f>
        <v>132,5</v>
      </c>
      <c r="L56" s="19" t="str">
        <f>"81,7326"</f>
        <v>81,7326</v>
      </c>
      <c r="M56" s="18" t="s">
        <v>557</v>
      </c>
    </row>
    <row r="57" spans="1:13">
      <c r="A57" s="19" t="s">
        <v>216</v>
      </c>
      <c r="B57" s="18" t="s">
        <v>384</v>
      </c>
      <c r="C57" s="18" t="s">
        <v>385</v>
      </c>
      <c r="D57" s="18" t="s">
        <v>386</v>
      </c>
      <c r="E57" s="18" t="s">
        <v>632</v>
      </c>
      <c r="F57" s="18" t="s">
        <v>387</v>
      </c>
      <c r="G57" s="24" t="s">
        <v>114</v>
      </c>
      <c r="H57" s="23" t="s">
        <v>17</v>
      </c>
      <c r="I57" s="23" t="s">
        <v>244</v>
      </c>
      <c r="J57" s="19"/>
      <c r="K57" s="35" t="str">
        <f>"125,0"</f>
        <v>125,0</v>
      </c>
      <c r="L57" s="19" t="str">
        <f>"78,7937"</f>
        <v>78,7937</v>
      </c>
      <c r="M57" s="18" t="s">
        <v>388</v>
      </c>
    </row>
    <row r="58" spans="1:13">
      <c r="A58" s="19" t="s">
        <v>430</v>
      </c>
      <c r="B58" s="18" t="s">
        <v>389</v>
      </c>
      <c r="C58" s="18" t="s">
        <v>390</v>
      </c>
      <c r="D58" s="18" t="s">
        <v>391</v>
      </c>
      <c r="E58" s="18" t="s">
        <v>632</v>
      </c>
      <c r="F58" s="18" t="s">
        <v>16</v>
      </c>
      <c r="G58" s="23" t="s">
        <v>17</v>
      </c>
      <c r="H58" s="24" t="s">
        <v>30</v>
      </c>
      <c r="I58" s="24" t="s">
        <v>30</v>
      </c>
      <c r="J58" s="19"/>
      <c r="K58" s="35" t="str">
        <f>"120,0"</f>
        <v>120,0</v>
      </c>
      <c r="L58" s="19" t="str">
        <f>"73,9260"</f>
        <v>73,9260</v>
      </c>
      <c r="M58" s="18" t="s">
        <v>562</v>
      </c>
    </row>
    <row r="59" spans="1:13">
      <c r="A59" s="19" t="s">
        <v>431</v>
      </c>
      <c r="B59" s="18" t="s">
        <v>392</v>
      </c>
      <c r="C59" s="18" t="s">
        <v>393</v>
      </c>
      <c r="D59" s="18" t="s">
        <v>243</v>
      </c>
      <c r="E59" s="18" t="s">
        <v>632</v>
      </c>
      <c r="F59" s="18" t="s">
        <v>153</v>
      </c>
      <c r="G59" s="23" t="s">
        <v>98</v>
      </c>
      <c r="H59" s="24" t="s">
        <v>244</v>
      </c>
      <c r="I59" s="24" t="s">
        <v>244</v>
      </c>
      <c r="J59" s="19"/>
      <c r="K59" s="35" t="str">
        <f>"117,5"</f>
        <v>117,5</v>
      </c>
      <c r="L59" s="19" t="str">
        <f>"73,7019"</f>
        <v>73,7019</v>
      </c>
      <c r="M59" s="18" t="s">
        <v>560</v>
      </c>
    </row>
    <row r="60" spans="1:13">
      <c r="A60" s="19" t="s">
        <v>432</v>
      </c>
      <c r="B60" s="18" t="s">
        <v>394</v>
      </c>
      <c r="C60" s="18" t="s">
        <v>395</v>
      </c>
      <c r="D60" s="18" t="s">
        <v>396</v>
      </c>
      <c r="E60" s="18" t="s">
        <v>632</v>
      </c>
      <c r="F60" s="18" t="s">
        <v>153</v>
      </c>
      <c r="G60" s="24" t="s">
        <v>31</v>
      </c>
      <c r="H60" s="24" t="s">
        <v>31</v>
      </c>
      <c r="I60" s="23" t="s">
        <v>31</v>
      </c>
      <c r="J60" s="19"/>
      <c r="K60" s="35" t="str">
        <f>"110,0"</f>
        <v>110,0</v>
      </c>
      <c r="L60" s="19" t="str">
        <f>"68,2550"</f>
        <v>68,2550</v>
      </c>
      <c r="M60" s="18" t="s">
        <v>291</v>
      </c>
    </row>
    <row r="61" spans="1:13">
      <c r="A61" s="21" t="s">
        <v>72</v>
      </c>
      <c r="B61" s="20" t="s">
        <v>245</v>
      </c>
      <c r="C61" s="20" t="s">
        <v>246</v>
      </c>
      <c r="D61" s="20" t="s">
        <v>247</v>
      </c>
      <c r="E61" s="20" t="s">
        <v>637</v>
      </c>
      <c r="F61" s="20" t="s">
        <v>53</v>
      </c>
      <c r="G61" s="26" t="s">
        <v>131</v>
      </c>
      <c r="H61" s="25" t="s">
        <v>19</v>
      </c>
      <c r="I61" s="25" t="s">
        <v>190</v>
      </c>
      <c r="J61" s="21"/>
      <c r="K61" s="36" t="str">
        <f>"135,0"</f>
        <v>135,0</v>
      </c>
      <c r="L61" s="21" t="str">
        <f>"99,7589"</f>
        <v>99,7589</v>
      </c>
      <c r="M61" s="20"/>
    </row>
    <row r="62" spans="1:13">
      <c r="B62" s="5" t="s">
        <v>73</v>
      </c>
    </row>
    <row r="63" spans="1:13" ht="16">
      <c r="A63" s="53" t="s">
        <v>26</v>
      </c>
      <c r="B63" s="53"/>
      <c r="C63" s="53"/>
      <c r="D63" s="53"/>
      <c r="E63" s="53"/>
      <c r="F63" s="53"/>
      <c r="G63" s="53"/>
      <c r="H63" s="53"/>
      <c r="I63" s="53"/>
      <c r="J63" s="53"/>
    </row>
    <row r="64" spans="1:13">
      <c r="A64" s="17" t="s">
        <v>72</v>
      </c>
      <c r="B64" s="16" t="s">
        <v>397</v>
      </c>
      <c r="C64" s="16" t="s">
        <v>602</v>
      </c>
      <c r="D64" s="16" t="s">
        <v>398</v>
      </c>
      <c r="E64" s="16" t="s">
        <v>638</v>
      </c>
      <c r="F64" s="16" t="s">
        <v>316</v>
      </c>
      <c r="G64" s="22" t="s">
        <v>131</v>
      </c>
      <c r="H64" s="22" t="s">
        <v>190</v>
      </c>
      <c r="I64" s="22" t="s">
        <v>137</v>
      </c>
      <c r="J64" s="17"/>
      <c r="K64" s="34" t="str">
        <f>"147,5"</f>
        <v>147,5</v>
      </c>
      <c r="L64" s="17" t="str">
        <f>"86,9734"</f>
        <v>86,9734</v>
      </c>
      <c r="M64" s="16"/>
    </row>
    <row r="65" spans="1:13">
      <c r="A65" s="19" t="s">
        <v>72</v>
      </c>
      <c r="B65" s="18" t="s">
        <v>399</v>
      </c>
      <c r="C65" s="18" t="s">
        <v>603</v>
      </c>
      <c r="D65" s="18" t="s">
        <v>400</v>
      </c>
      <c r="E65" s="18" t="s">
        <v>635</v>
      </c>
      <c r="F65" s="18" t="s">
        <v>16</v>
      </c>
      <c r="G65" s="23" t="s">
        <v>131</v>
      </c>
      <c r="H65" s="24" t="s">
        <v>19</v>
      </c>
      <c r="I65" s="23" t="s">
        <v>19</v>
      </c>
      <c r="J65" s="19"/>
      <c r="K65" s="35" t="str">
        <f>"140,0"</f>
        <v>140,0</v>
      </c>
      <c r="L65" s="19" t="str">
        <f>"82,5160"</f>
        <v>82,5160</v>
      </c>
      <c r="M65" s="18"/>
    </row>
    <row r="66" spans="1:13">
      <c r="A66" s="19" t="s">
        <v>72</v>
      </c>
      <c r="B66" s="18" t="s">
        <v>401</v>
      </c>
      <c r="C66" s="18" t="s">
        <v>402</v>
      </c>
      <c r="D66" s="18" t="s">
        <v>403</v>
      </c>
      <c r="E66" s="18" t="s">
        <v>632</v>
      </c>
      <c r="F66" s="18" t="s">
        <v>39</v>
      </c>
      <c r="G66" s="23" t="s">
        <v>57</v>
      </c>
      <c r="H66" s="23" t="s">
        <v>34</v>
      </c>
      <c r="I66" s="23" t="s">
        <v>192</v>
      </c>
      <c r="J66" s="19"/>
      <c r="K66" s="35" t="str">
        <f>"202,5"</f>
        <v>202,5</v>
      </c>
      <c r="L66" s="19" t="str">
        <f>"117,7133"</f>
        <v>117,7133</v>
      </c>
      <c r="M66" s="18" t="s">
        <v>48</v>
      </c>
    </row>
    <row r="67" spans="1:13">
      <c r="A67" s="19" t="s">
        <v>215</v>
      </c>
      <c r="B67" s="18" t="s">
        <v>404</v>
      </c>
      <c r="C67" s="18" t="s">
        <v>405</v>
      </c>
      <c r="D67" s="18" t="s">
        <v>406</v>
      </c>
      <c r="E67" s="18" t="s">
        <v>632</v>
      </c>
      <c r="F67" s="18" t="s">
        <v>360</v>
      </c>
      <c r="G67" s="23" t="s">
        <v>140</v>
      </c>
      <c r="H67" s="24" t="s">
        <v>56</v>
      </c>
      <c r="I67" s="24" t="s">
        <v>56</v>
      </c>
      <c r="J67" s="19"/>
      <c r="K67" s="35" t="str">
        <f>"185,0"</f>
        <v>185,0</v>
      </c>
      <c r="L67" s="19" t="str">
        <f>"108,4377"</f>
        <v>108,4377</v>
      </c>
      <c r="M67" s="18" t="s">
        <v>558</v>
      </c>
    </row>
    <row r="68" spans="1:13">
      <c r="A68" s="19" t="s">
        <v>216</v>
      </c>
      <c r="B68" s="18" t="s">
        <v>407</v>
      </c>
      <c r="C68" s="18" t="s">
        <v>408</v>
      </c>
      <c r="D68" s="18" t="s">
        <v>409</v>
      </c>
      <c r="E68" s="18" t="s">
        <v>632</v>
      </c>
      <c r="F68" s="18" t="s">
        <v>39</v>
      </c>
      <c r="G68" s="23" t="s">
        <v>24</v>
      </c>
      <c r="H68" s="23" t="s">
        <v>361</v>
      </c>
      <c r="I68" s="23" t="s">
        <v>362</v>
      </c>
      <c r="J68" s="19"/>
      <c r="K68" s="35" t="str">
        <f>"172,5"</f>
        <v>172,5</v>
      </c>
      <c r="L68" s="19" t="str">
        <f>"101,9130"</f>
        <v>101,9130</v>
      </c>
      <c r="M68" s="18"/>
    </row>
    <row r="69" spans="1:13">
      <c r="A69" s="19" t="s">
        <v>430</v>
      </c>
      <c r="B69" s="18" t="s">
        <v>410</v>
      </c>
      <c r="C69" s="18" t="s">
        <v>411</v>
      </c>
      <c r="D69" s="18" t="s">
        <v>412</v>
      </c>
      <c r="E69" s="18" t="s">
        <v>632</v>
      </c>
      <c r="F69" s="18" t="s">
        <v>413</v>
      </c>
      <c r="G69" s="24" t="s">
        <v>23</v>
      </c>
      <c r="H69" s="23" t="s">
        <v>23</v>
      </c>
      <c r="I69" s="24" t="s">
        <v>118</v>
      </c>
      <c r="J69" s="19"/>
      <c r="K69" s="35" t="str">
        <f>"150,0"</f>
        <v>150,0</v>
      </c>
      <c r="L69" s="19" t="str">
        <f>"88,7925"</f>
        <v>88,7925</v>
      </c>
      <c r="M69" s="18"/>
    </row>
    <row r="70" spans="1:13">
      <c r="A70" s="19" t="s">
        <v>431</v>
      </c>
      <c r="B70" s="18" t="s">
        <v>414</v>
      </c>
      <c r="C70" s="18" t="s">
        <v>415</v>
      </c>
      <c r="D70" s="18" t="s">
        <v>416</v>
      </c>
      <c r="E70" s="18" t="s">
        <v>632</v>
      </c>
      <c r="F70" s="18" t="s">
        <v>136</v>
      </c>
      <c r="G70" s="23" t="s">
        <v>131</v>
      </c>
      <c r="H70" s="23" t="s">
        <v>19</v>
      </c>
      <c r="I70" s="24" t="s">
        <v>118</v>
      </c>
      <c r="J70" s="19"/>
      <c r="K70" s="35" t="str">
        <f>"140,0"</f>
        <v>140,0</v>
      </c>
      <c r="L70" s="19" t="str">
        <f>"83,1600"</f>
        <v>83,1600</v>
      </c>
      <c r="M70" s="18"/>
    </row>
    <row r="71" spans="1:13">
      <c r="A71" s="19" t="s">
        <v>72</v>
      </c>
      <c r="B71" s="18" t="s">
        <v>407</v>
      </c>
      <c r="C71" s="18" t="s">
        <v>417</v>
      </c>
      <c r="D71" s="18" t="s">
        <v>409</v>
      </c>
      <c r="E71" s="18" t="s">
        <v>634</v>
      </c>
      <c r="F71" s="18" t="s">
        <v>39</v>
      </c>
      <c r="G71" s="23" t="s">
        <v>24</v>
      </c>
      <c r="H71" s="23" t="s">
        <v>361</v>
      </c>
      <c r="I71" s="23" t="s">
        <v>362</v>
      </c>
      <c r="J71" s="19"/>
      <c r="K71" s="35" t="str">
        <f>"172,5"</f>
        <v>172,5</v>
      </c>
      <c r="L71" s="19" t="str">
        <f>"103,9513"</f>
        <v>103,9513</v>
      </c>
      <c r="M71" s="18"/>
    </row>
    <row r="72" spans="1:13">
      <c r="A72" s="21" t="s">
        <v>215</v>
      </c>
      <c r="B72" s="20" t="s">
        <v>418</v>
      </c>
      <c r="C72" s="20" t="s">
        <v>419</v>
      </c>
      <c r="D72" s="20" t="s">
        <v>420</v>
      </c>
      <c r="E72" s="20" t="s">
        <v>634</v>
      </c>
      <c r="F72" s="20" t="s">
        <v>112</v>
      </c>
      <c r="G72" s="26" t="s">
        <v>131</v>
      </c>
      <c r="H72" s="26" t="s">
        <v>19</v>
      </c>
      <c r="I72" s="25" t="s">
        <v>32</v>
      </c>
      <c r="J72" s="21"/>
      <c r="K72" s="36" t="str">
        <f>"140,0"</f>
        <v>140,0</v>
      </c>
      <c r="L72" s="21" t="str">
        <f>"84,1235"</f>
        <v>84,1235</v>
      </c>
      <c r="M72" s="29" t="s">
        <v>571</v>
      </c>
    </row>
    <row r="73" spans="1:13">
      <c r="B73" s="5" t="s">
        <v>73</v>
      </c>
    </row>
    <row r="74" spans="1:13" ht="16">
      <c r="A74" s="53" t="s">
        <v>35</v>
      </c>
      <c r="B74" s="53"/>
      <c r="C74" s="53"/>
      <c r="D74" s="53"/>
      <c r="E74" s="53"/>
      <c r="F74" s="53"/>
      <c r="G74" s="53"/>
      <c r="H74" s="53"/>
      <c r="I74" s="53"/>
      <c r="J74" s="53"/>
    </row>
    <row r="75" spans="1:13">
      <c r="A75" s="8" t="s">
        <v>72</v>
      </c>
      <c r="B75" s="7" t="s">
        <v>421</v>
      </c>
      <c r="C75" s="7" t="s">
        <v>422</v>
      </c>
      <c r="D75" s="7" t="s">
        <v>423</v>
      </c>
      <c r="E75" s="7" t="s">
        <v>632</v>
      </c>
      <c r="F75" s="7" t="s">
        <v>153</v>
      </c>
      <c r="G75" s="15" t="s">
        <v>17</v>
      </c>
      <c r="H75" s="14" t="s">
        <v>17</v>
      </c>
      <c r="I75" s="15" t="s">
        <v>30</v>
      </c>
      <c r="J75" s="8"/>
      <c r="K75" s="33" t="str">
        <f>"120,0"</f>
        <v>120,0</v>
      </c>
      <c r="L75" s="8" t="str">
        <f>"68,1960"</f>
        <v>68,1960</v>
      </c>
      <c r="M75" s="28" t="s">
        <v>565</v>
      </c>
    </row>
    <row r="76" spans="1:13">
      <c r="B76" s="5" t="s">
        <v>73</v>
      </c>
    </row>
    <row r="77" spans="1:13">
      <c r="B77" s="5" t="s">
        <v>73</v>
      </c>
    </row>
    <row r="79" spans="1:13" ht="18">
      <c r="B79" s="9" t="s">
        <v>59</v>
      </c>
      <c r="C79" s="9"/>
    </row>
    <row r="80" spans="1:13" ht="16">
      <c r="B80" s="10" t="s">
        <v>60</v>
      </c>
      <c r="C80" s="10"/>
    </row>
    <row r="81" spans="1:6" ht="14">
      <c r="B81" s="11"/>
      <c r="C81" s="12" t="s">
        <v>61</v>
      </c>
    </row>
    <row r="82" spans="1:6" ht="14">
      <c r="A82" s="6"/>
      <c r="B82" s="13" t="s">
        <v>62</v>
      </c>
      <c r="C82" s="13" t="s">
        <v>63</v>
      </c>
      <c r="D82" s="13" t="s">
        <v>608</v>
      </c>
      <c r="E82" s="13" t="s">
        <v>298</v>
      </c>
      <c r="F82" s="13" t="s">
        <v>66</v>
      </c>
    </row>
    <row r="83" spans="1:6">
      <c r="A83" s="6"/>
      <c r="B83" s="5" t="s">
        <v>306</v>
      </c>
      <c r="C83" s="5" t="s">
        <v>61</v>
      </c>
      <c r="D83" s="6" t="s">
        <v>199</v>
      </c>
      <c r="E83" s="6" t="s">
        <v>116</v>
      </c>
      <c r="F83" s="6" t="s">
        <v>424</v>
      </c>
    </row>
    <row r="84" spans="1:6">
      <c r="A84" s="6"/>
      <c r="B84" s="5" t="s">
        <v>92</v>
      </c>
      <c r="C84" s="5" t="s">
        <v>61</v>
      </c>
      <c r="D84" s="6" t="s">
        <v>199</v>
      </c>
      <c r="E84" s="6" t="s">
        <v>96</v>
      </c>
      <c r="F84" s="6" t="s">
        <v>425</v>
      </c>
    </row>
    <row r="85" spans="1:6">
      <c r="A85" s="6"/>
      <c r="B85" s="5" t="s">
        <v>325</v>
      </c>
      <c r="C85" s="5" t="s">
        <v>61</v>
      </c>
      <c r="D85" s="6" t="s">
        <v>205</v>
      </c>
      <c r="E85" s="6" t="s">
        <v>116</v>
      </c>
      <c r="F85" s="6" t="s">
        <v>426</v>
      </c>
    </row>
    <row r="87" spans="1:6" ht="16">
      <c r="B87" s="10" t="s">
        <v>68</v>
      </c>
      <c r="C87" s="10"/>
    </row>
    <row r="88" spans="1:6" ht="14">
      <c r="B88" s="11"/>
      <c r="C88" s="12" t="s">
        <v>61</v>
      </c>
    </row>
    <row r="89" spans="1:6" ht="14">
      <c r="A89" s="6"/>
      <c r="B89" s="13" t="s">
        <v>62</v>
      </c>
      <c r="C89" s="13" t="s">
        <v>63</v>
      </c>
      <c r="D89" s="13" t="s">
        <v>608</v>
      </c>
      <c r="E89" s="13" t="s">
        <v>298</v>
      </c>
      <c r="F89" s="13" t="s">
        <v>66</v>
      </c>
    </row>
    <row r="90" spans="1:6">
      <c r="A90" s="6"/>
      <c r="B90" s="5" t="s">
        <v>401</v>
      </c>
      <c r="C90" s="5" t="s">
        <v>61</v>
      </c>
      <c r="D90" s="6" t="s">
        <v>71</v>
      </c>
      <c r="E90" s="6" t="s">
        <v>192</v>
      </c>
      <c r="F90" s="6" t="s">
        <v>427</v>
      </c>
    </row>
    <row r="91" spans="1:6">
      <c r="A91" s="6"/>
      <c r="B91" s="5" t="s">
        <v>334</v>
      </c>
      <c r="C91" s="5" t="s">
        <v>61</v>
      </c>
      <c r="D91" s="6" t="s">
        <v>67</v>
      </c>
      <c r="E91" s="6" t="s">
        <v>138</v>
      </c>
      <c r="F91" s="6" t="s">
        <v>428</v>
      </c>
    </row>
    <row r="92" spans="1:6">
      <c r="A92" s="6"/>
      <c r="B92" s="5" t="s">
        <v>357</v>
      </c>
      <c r="C92" s="5" t="s">
        <v>61</v>
      </c>
      <c r="D92" s="6" t="s">
        <v>204</v>
      </c>
      <c r="E92" s="6" t="s">
        <v>362</v>
      </c>
      <c r="F92" s="6" t="s">
        <v>429</v>
      </c>
    </row>
    <row r="93" spans="1:6">
      <c r="B93" s="5" t="s">
        <v>73</v>
      </c>
    </row>
  </sheetData>
  <mergeCells count="24">
    <mergeCell ref="A5:J5"/>
    <mergeCell ref="B3:B4"/>
    <mergeCell ref="A74:J74"/>
    <mergeCell ref="A8:J8"/>
    <mergeCell ref="A14:J14"/>
    <mergeCell ref="A19:J19"/>
    <mergeCell ref="A23:J23"/>
    <mergeCell ref="A26:J26"/>
    <mergeCell ref="A29:J29"/>
    <mergeCell ref="A32:J32"/>
    <mergeCell ref="A37:J37"/>
    <mergeCell ref="A44:J44"/>
    <mergeCell ref="A51:J51"/>
    <mergeCell ref="A63:J63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Двоеборье без экип</vt:lpstr>
      <vt:lpstr>GPA Присед без экипировки ДК</vt:lpstr>
      <vt:lpstr>GPA Присед в бинтах ДК</vt:lpstr>
      <vt:lpstr>GPA Жим без экипировки ДК</vt:lpstr>
      <vt:lpstr>GPA Жим без экипировки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GPA Тяга без экипировки ДК</vt:lpstr>
      <vt:lpstr>GPA Тяга без экипировки</vt:lpstr>
      <vt:lpstr>СПР Жим СФО</vt:lpstr>
      <vt:lpstr>СПР Пауэрспорт ДК</vt:lpstr>
      <vt:lpstr>СПР Жим стоя ДК</vt:lpstr>
      <vt:lpstr>СПР Подъем на бицепс ДК</vt:lpstr>
      <vt:lpstr>ФЖД Двоеборье любители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2021-05-31T19:57:33Z</dcterms:modified>
</cp:coreProperties>
</file>