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63AF5D13-21B4-1445-AC75-857039EE9EDB}" xr6:coauthVersionLast="45" xr6:coauthVersionMax="45" xr10:uidLastSave="{00000000-0000-0000-0000-000000000000}"/>
  <bookViews>
    <workbookView xWindow="480" yWindow="460" windowWidth="28320" windowHeight="16000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" sheetId="7" r:id="rId3"/>
    <sheet name="IPL Двоеборье без экип ДК" sheetId="16" r:id="rId4"/>
    <sheet name="IPL Двоеборье без экип" sheetId="15" r:id="rId5"/>
    <sheet name="IPL Жим без экипировки ДК" sheetId="9" r:id="rId6"/>
    <sheet name="IPL Жим без экипировки" sheetId="8" r:id="rId7"/>
    <sheet name="IPL Жим однослой ДК" sheetId="11" r:id="rId8"/>
    <sheet name="IPL Жим однослой" sheetId="10" r:id="rId9"/>
    <sheet name="СПР Жим софт однопетельная ДК" sheetId="18" r:id="rId10"/>
    <sheet name="СПР Жим софт однопетельная" sheetId="17" r:id="rId11"/>
    <sheet name="СПР Жим СФО" sheetId="47" r:id="rId12"/>
    <sheet name="IPL Тяга без экипировки ДК" sheetId="13" r:id="rId13"/>
    <sheet name="IPL Тяга без экипировки" sheetId="12" r:id="rId14"/>
    <sheet name="СПР Пауэрспорт ДК" sheetId="24" r:id="rId15"/>
    <sheet name="СПР Пауэрспорт" sheetId="23" r:id="rId16"/>
    <sheet name="СПР Жим стоя ДК" sheetId="20" r:id="rId17"/>
    <sheet name="СПР Подъем на бицепс ДК" sheetId="22" r:id="rId18"/>
    <sheet name="СПР Подъем на бицепс" sheetId="21" r:id="rId19"/>
    <sheet name="ФЖД Любители ДК жим на макс." sheetId="37" r:id="rId20"/>
    <sheet name="ФЖД Армейский жим на макс ДК" sheetId="46" r:id="rId21"/>
    <sheet name="ФЖД Военный жим на макс." sheetId="41" r:id="rId22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47" l="1"/>
  <c r="K13" i="47"/>
  <c r="L10" i="47"/>
  <c r="K10" i="47"/>
  <c r="L7" i="47"/>
  <c r="L6" i="47"/>
  <c r="K6" i="47"/>
  <c r="L6" i="46"/>
  <c r="K6" i="46"/>
  <c r="L6" i="41"/>
  <c r="K6" i="41"/>
  <c r="L6" i="37"/>
  <c r="K6" i="37"/>
  <c r="P9" i="24"/>
  <c r="O9" i="24"/>
  <c r="P6" i="24"/>
  <c r="O6" i="24"/>
  <c r="P9" i="23"/>
  <c r="O9" i="23"/>
  <c r="P6" i="23"/>
  <c r="O6" i="23"/>
  <c r="L19" i="22"/>
  <c r="K19" i="22"/>
  <c r="L16" i="22"/>
  <c r="K16" i="22"/>
  <c r="L15" i="22"/>
  <c r="K15" i="22"/>
  <c r="L14" i="22"/>
  <c r="K14" i="22"/>
  <c r="L13" i="22"/>
  <c r="K13" i="22"/>
  <c r="L10" i="22"/>
  <c r="K10" i="22"/>
  <c r="L9" i="22"/>
  <c r="K9" i="22"/>
  <c r="L6" i="22"/>
  <c r="K6" i="22"/>
  <c r="L7" i="21"/>
  <c r="K7" i="21"/>
  <c r="L6" i="21"/>
  <c r="K6" i="21"/>
  <c r="L13" i="20"/>
  <c r="K13" i="20"/>
  <c r="L10" i="20"/>
  <c r="K10" i="20"/>
  <c r="L9" i="20"/>
  <c r="L6" i="20"/>
  <c r="K6" i="20"/>
  <c r="L13" i="18"/>
  <c r="K13" i="18"/>
  <c r="L10" i="18"/>
  <c r="K10" i="18"/>
  <c r="L7" i="18"/>
  <c r="K7" i="18"/>
  <c r="L6" i="18"/>
  <c r="K6" i="18"/>
  <c r="L15" i="17"/>
  <c r="K15" i="17"/>
  <c r="L12" i="17"/>
  <c r="K12" i="17"/>
  <c r="L9" i="17"/>
  <c r="K9" i="17"/>
  <c r="L6" i="17"/>
  <c r="K6" i="17"/>
  <c r="P9" i="16"/>
  <c r="O9" i="16"/>
  <c r="P6" i="16"/>
  <c r="O6" i="16"/>
  <c r="P6" i="15"/>
  <c r="O6" i="15"/>
  <c r="L25" i="13"/>
  <c r="K25" i="13"/>
  <c r="L22" i="13"/>
  <c r="K22" i="13"/>
  <c r="L21" i="13"/>
  <c r="K21" i="13"/>
  <c r="L18" i="13"/>
  <c r="K18" i="13"/>
  <c r="L15" i="13"/>
  <c r="K15" i="13"/>
  <c r="L12" i="13"/>
  <c r="K12" i="13"/>
  <c r="L9" i="13"/>
  <c r="K9" i="13"/>
  <c r="L6" i="13"/>
  <c r="K6" i="13"/>
  <c r="L14" i="12"/>
  <c r="K14" i="12"/>
  <c r="L11" i="12"/>
  <c r="K11" i="12"/>
  <c r="L10" i="12"/>
  <c r="K10" i="12"/>
  <c r="L9" i="12"/>
  <c r="K9" i="12"/>
  <c r="L6" i="12"/>
  <c r="K6" i="12"/>
  <c r="L6" i="11"/>
  <c r="K6" i="11"/>
  <c r="L9" i="10"/>
  <c r="K9" i="10"/>
  <c r="L6" i="10"/>
  <c r="K6" i="10"/>
  <c r="L44" i="9"/>
  <c r="K44" i="9"/>
  <c r="L43" i="9"/>
  <c r="K43" i="9"/>
  <c r="L42" i="9"/>
  <c r="K42" i="9"/>
  <c r="L39" i="9"/>
  <c r="K39" i="9"/>
  <c r="L36" i="9"/>
  <c r="K36" i="9"/>
  <c r="L35" i="9"/>
  <c r="K35" i="9"/>
  <c r="L34" i="9"/>
  <c r="K34" i="9"/>
  <c r="L33" i="9"/>
  <c r="K33" i="9"/>
  <c r="L32" i="9"/>
  <c r="K32" i="9"/>
  <c r="L29" i="9"/>
  <c r="K29" i="9"/>
  <c r="L28" i="9"/>
  <c r="K28" i="9"/>
  <c r="L27" i="9"/>
  <c r="K27" i="9"/>
  <c r="L26" i="9"/>
  <c r="K26" i="9"/>
  <c r="L23" i="9"/>
  <c r="K23" i="9"/>
  <c r="L22" i="9"/>
  <c r="K22" i="9"/>
  <c r="L19" i="9"/>
  <c r="K19" i="9"/>
  <c r="L18" i="9"/>
  <c r="K18" i="9"/>
  <c r="L15" i="9"/>
  <c r="K15" i="9"/>
  <c r="L12" i="9"/>
  <c r="K12" i="9"/>
  <c r="L9" i="9"/>
  <c r="K9" i="9"/>
  <c r="L6" i="9"/>
  <c r="K6" i="9"/>
  <c r="L30" i="8"/>
  <c r="K30" i="8"/>
  <c r="L27" i="8"/>
  <c r="K27" i="8"/>
  <c r="L26" i="8"/>
  <c r="K26" i="8"/>
  <c r="L25" i="8"/>
  <c r="K25" i="8"/>
  <c r="L22" i="8"/>
  <c r="K22" i="8"/>
  <c r="L21" i="8"/>
  <c r="K21" i="8"/>
  <c r="L18" i="8"/>
  <c r="K18" i="8"/>
  <c r="L15" i="8"/>
  <c r="K15" i="8"/>
  <c r="L12" i="8"/>
  <c r="K12" i="8"/>
  <c r="L9" i="8"/>
  <c r="K9" i="8"/>
  <c r="L6" i="8"/>
  <c r="K6" i="8"/>
  <c r="T7" i="7"/>
  <c r="T6" i="7"/>
  <c r="S6" i="7"/>
  <c r="T29" i="6"/>
  <c r="S29" i="6"/>
  <c r="T26" i="6"/>
  <c r="S26" i="6"/>
  <c r="T23" i="6"/>
  <c r="S23" i="6"/>
  <c r="T20" i="6"/>
  <c r="S20" i="6"/>
  <c r="T19" i="6"/>
  <c r="S19" i="6"/>
  <c r="T18" i="6"/>
  <c r="S18" i="6"/>
  <c r="T15" i="6"/>
  <c r="S15" i="6"/>
  <c r="T12" i="6"/>
  <c r="S12" i="6"/>
  <c r="T9" i="6"/>
  <c r="S9" i="6"/>
  <c r="T6" i="6"/>
  <c r="S6" i="6"/>
  <c r="T18" i="5"/>
  <c r="S18" i="5"/>
  <c r="T17" i="5"/>
  <c r="S17" i="5"/>
  <c r="T14" i="5"/>
  <c r="S14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<sst xmlns="http://schemas.openxmlformats.org/spreadsheetml/2006/main" count="1608" uniqueCount="468">
  <si>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</si>
  <si>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</si>
  <si>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</si>
  <si>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</si>
  <si>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</si>
  <si>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</si>
  <si>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</si>
  <si>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</si>
  <si>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</si>
  <si>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</si>
  <si>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</si>
  <si>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</si>
  <si>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Исаев Андрей</t>
  </si>
  <si>
    <t>81,60</t>
  </si>
  <si>
    <t>110,0</t>
  </si>
  <si>
    <t>120,0</t>
  </si>
  <si>
    <t>130,0</t>
  </si>
  <si>
    <t>95,0</t>
  </si>
  <si>
    <t>97,5</t>
  </si>
  <si>
    <t>100,0</t>
  </si>
  <si>
    <t>122,5</t>
  </si>
  <si>
    <t>ВЕСОВАЯ КАТЕГОРИЯ   90</t>
  </si>
  <si>
    <t>Гриджук Константин</t>
  </si>
  <si>
    <t>Открытая (01.05.1988)/33</t>
  </si>
  <si>
    <t>87,40</t>
  </si>
  <si>
    <t xml:space="preserve">Самара/Самарская область </t>
  </si>
  <si>
    <t>200,0</t>
  </si>
  <si>
    <t>220,0</t>
  </si>
  <si>
    <t>240,0</t>
  </si>
  <si>
    <t>135,0</t>
  </si>
  <si>
    <t>150,0</t>
  </si>
  <si>
    <t>155,0</t>
  </si>
  <si>
    <t>260,0</t>
  </si>
  <si>
    <t>270,0</t>
  </si>
  <si>
    <t>Фисенко Юрий</t>
  </si>
  <si>
    <t>Открытая (19.07.1987)/33</t>
  </si>
  <si>
    <t>90,00</t>
  </si>
  <si>
    <t>175,0</t>
  </si>
  <si>
    <t>190,0</t>
  </si>
  <si>
    <t>127,5</t>
  </si>
  <si>
    <t>132,5</t>
  </si>
  <si>
    <t>205,0</t>
  </si>
  <si>
    <t>225,0</t>
  </si>
  <si>
    <t>ВЕСОВАЯ КАТЕГОРИЯ   100</t>
  </si>
  <si>
    <t>Аносенко Алексей</t>
  </si>
  <si>
    <t>Открытая (19.03.1991)/30</t>
  </si>
  <si>
    <t>94,80</t>
  </si>
  <si>
    <t>185,0</t>
  </si>
  <si>
    <t>140,0</t>
  </si>
  <si>
    <t>147,5</t>
  </si>
  <si>
    <t>257,5</t>
  </si>
  <si>
    <t>272,5</t>
  </si>
  <si>
    <t>Терехин Константин</t>
  </si>
  <si>
    <t>Открытая (21.12.1985)/35</t>
  </si>
  <si>
    <t>95,00</t>
  </si>
  <si>
    <t xml:space="preserve">Саратов/Саратовская область </t>
  </si>
  <si>
    <t>195,0</t>
  </si>
  <si>
    <t>207,5</t>
  </si>
  <si>
    <t>212,5</t>
  </si>
  <si>
    <t>145,0</t>
  </si>
  <si>
    <t>160,0</t>
  </si>
  <si>
    <t>217,5</t>
  </si>
  <si>
    <t xml:space="preserve">Лепешенков В. </t>
  </si>
  <si>
    <t>ВЕСОВАЯ КАТЕГОРИЯ   110</t>
  </si>
  <si>
    <t>Лепешенков Владимир</t>
  </si>
  <si>
    <t>Открытая (05.03.1982)/39</t>
  </si>
  <si>
    <t>108,20</t>
  </si>
  <si>
    <t>170,0</t>
  </si>
  <si>
    <t>180,0</t>
  </si>
  <si>
    <t>Зайцев Владимир</t>
  </si>
  <si>
    <t>103,30</t>
  </si>
  <si>
    <t>115,0</t>
  </si>
  <si>
    <t>125,0</t>
  </si>
  <si>
    <t>105,0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</si>
  <si>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</si>
  <si>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</si>
  <si>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</si>
  <si>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</si>
  <si>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</si>
  <si>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</si>
  <si>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</si>
  <si>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</si>
  <si>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90</t>
  </si>
  <si>
    <t>1</t>
  </si>
  <si>
    <t/>
  </si>
  <si>
    <t>2</t>
  </si>
  <si>
    <t>-</t>
  </si>
  <si>
    <t>ВЕСОВАЯ КАТЕГОРИЯ   52</t>
  </si>
  <si>
    <t>Стрельникова Мария</t>
  </si>
  <si>
    <t>Девушки 15-19 (07.04.2005)/16</t>
  </si>
  <si>
    <t>52,00</t>
  </si>
  <si>
    <t xml:space="preserve">Отрадный/Самарская область </t>
  </si>
  <si>
    <t>80,0</t>
  </si>
  <si>
    <t>85,0</t>
  </si>
  <si>
    <t>90,0</t>
  </si>
  <si>
    <t>40,0</t>
  </si>
  <si>
    <t>42,5</t>
  </si>
  <si>
    <t>ВЕСОВАЯ КАТЕГОРИЯ   67.5</t>
  </si>
  <si>
    <t>Алиферова Анна</t>
  </si>
  <si>
    <t>Открытая (21.06.1987)/33</t>
  </si>
  <si>
    <t>65,60</t>
  </si>
  <si>
    <t>87,5</t>
  </si>
  <si>
    <t>57,5</t>
  </si>
  <si>
    <t>62,5</t>
  </si>
  <si>
    <t>107,5</t>
  </si>
  <si>
    <t>112,5</t>
  </si>
  <si>
    <t>117,5</t>
  </si>
  <si>
    <t>Чиркова Елена</t>
  </si>
  <si>
    <t>Открытая (16.05.1989)/32</t>
  </si>
  <si>
    <t>89,20</t>
  </si>
  <si>
    <t>45,0</t>
  </si>
  <si>
    <t>Мхитарян Ваграм</t>
  </si>
  <si>
    <t>Открытая (31.03.1992)/29</t>
  </si>
  <si>
    <t>ВЕСОВАЯ КАТЕГОРИЯ   75</t>
  </si>
  <si>
    <t>Коркин Владислав</t>
  </si>
  <si>
    <t>Открытая (23.12.1993)/27</t>
  </si>
  <si>
    <t>74,30</t>
  </si>
  <si>
    <t xml:space="preserve">Кинель/Самарская область </t>
  </si>
  <si>
    <t>165,0</t>
  </si>
  <si>
    <t>210,0</t>
  </si>
  <si>
    <t>Калачян Геворг</t>
  </si>
  <si>
    <t>Открытая (08.09.1993)/27</t>
  </si>
  <si>
    <t>74,60</t>
  </si>
  <si>
    <t>Карпов Виктор</t>
  </si>
  <si>
    <t>Открытая (08.09.1990)/30</t>
  </si>
  <si>
    <t>72,40</t>
  </si>
  <si>
    <t>Дементьев Илья</t>
  </si>
  <si>
    <t>Юноши 15-19 (02.08.2005)/15</t>
  </si>
  <si>
    <t>82,50</t>
  </si>
  <si>
    <t>Карпунин Сергей</t>
  </si>
  <si>
    <t>Открытая (18.10.1987)/33</t>
  </si>
  <si>
    <t>88,90</t>
  </si>
  <si>
    <t xml:space="preserve">Бузулук/Оренбургская область </t>
  </si>
  <si>
    <t>142,5</t>
  </si>
  <si>
    <t>230,0</t>
  </si>
  <si>
    <t>ВЕСОВАЯ КАТЕГОРИЯ   125</t>
  </si>
  <si>
    <t>Петров Александр</t>
  </si>
  <si>
    <t>121,50</t>
  </si>
  <si>
    <t xml:space="preserve">Тольятти/Самарская область </t>
  </si>
  <si>
    <t>235,0</t>
  </si>
  <si>
    <t>125</t>
  </si>
  <si>
    <t>567,5</t>
  </si>
  <si>
    <t>364,5620</t>
  </si>
  <si>
    <t>75</t>
  </si>
  <si>
    <t>485,0</t>
  </si>
  <si>
    <t>347,8905</t>
  </si>
  <si>
    <t>470,0</t>
  </si>
  <si>
    <t>336,1440</t>
  </si>
  <si>
    <t>3</t>
  </si>
  <si>
    <t>Теплов Денис</t>
  </si>
  <si>
    <t>Открытая (21.12.1993)/27</t>
  </si>
  <si>
    <t>108,70</t>
  </si>
  <si>
    <t>280,0</t>
  </si>
  <si>
    <t>300,0</t>
  </si>
  <si>
    <t>285,0</t>
  </si>
  <si>
    <t>295,0</t>
  </si>
  <si>
    <t>Киреев Петр</t>
  </si>
  <si>
    <t>Открытая (05.02.1996)/25</t>
  </si>
  <si>
    <t>107,00</t>
  </si>
  <si>
    <t>110</t>
  </si>
  <si>
    <t>Хитрина Дарья</t>
  </si>
  <si>
    <t>Девушки 15-19 (25.07.2011)/9</t>
  </si>
  <si>
    <t>51,50</t>
  </si>
  <si>
    <t>22,5</t>
  </si>
  <si>
    <t>25,0</t>
  </si>
  <si>
    <t>27,5</t>
  </si>
  <si>
    <t>Варакина Екатерина</t>
  </si>
  <si>
    <t>Открытая (14.07.1995)/25</t>
  </si>
  <si>
    <t>73,10</t>
  </si>
  <si>
    <t>Кулешов Никита</t>
  </si>
  <si>
    <t>Юноши 15-19 (06.05.2008)/13</t>
  </si>
  <si>
    <t>36,00</t>
  </si>
  <si>
    <t>30,0</t>
  </si>
  <si>
    <t>Атанов Евгений</t>
  </si>
  <si>
    <t>Юноши 15-19 (05.12.2004)/16</t>
  </si>
  <si>
    <t>64,00</t>
  </si>
  <si>
    <t>50,0</t>
  </si>
  <si>
    <t>55,0</t>
  </si>
  <si>
    <t>60,0</t>
  </si>
  <si>
    <t>Плотников Владимир</t>
  </si>
  <si>
    <t>Открытая (24.06.1981)/39</t>
  </si>
  <si>
    <t>79,80</t>
  </si>
  <si>
    <t>Зубко Сергей</t>
  </si>
  <si>
    <t>Открытая (10.12.1994)/26</t>
  </si>
  <si>
    <t>87,70</t>
  </si>
  <si>
    <t xml:space="preserve">Азов/Ростовская область </t>
  </si>
  <si>
    <t>Тибейкин Дмитрий</t>
  </si>
  <si>
    <t>Открытая (08.07.1984)/36</t>
  </si>
  <si>
    <t>87,60</t>
  </si>
  <si>
    <t>Кулагин Андрей</t>
  </si>
  <si>
    <t>Открытая (16.09.1978)/42</t>
  </si>
  <si>
    <t>114,00</t>
  </si>
  <si>
    <t>232,5</t>
  </si>
  <si>
    <t>237,5</t>
  </si>
  <si>
    <t>Магер Дмитрий</t>
  </si>
  <si>
    <t>Открытая (19.07.1989)/31</t>
  </si>
  <si>
    <t>114,60</t>
  </si>
  <si>
    <t>202,5</t>
  </si>
  <si>
    <t>ВЕСОВАЯ КАТЕГОРИЯ   140+</t>
  </si>
  <si>
    <t>Сурков Алексей</t>
  </si>
  <si>
    <t>Мастера 40-49 (15.08.1978)/42</t>
  </si>
  <si>
    <t>143,40</t>
  </si>
  <si>
    <t xml:space="preserve">Новокуйбышевск/Самарская область </t>
  </si>
  <si>
    <t xml:space="preserve">Губанов А. </t>
  </si>
  <si>
    <t xml:space="preserve">Результат </t>
  </si>
  <si>
    <t>135,4080</t>
  </si>
  <si>
    <t>129,4200</t>
  </si>
  <si>
    <t>119,2280</t>
  </si>
  <si>
    <t>Результат</t>
  </si>
  <si>
    <t>ВЕСОВАЯ КАТЕГОРИЯ   48</t>
  </si>
  <si>
    <t>Панина Людмила</t>
  </si>
  <si>
    <t>Открытая (24.06.1987)/33</t>
  </si>
  <si>
    <t>48,00</t>
  </si>
  <si>
    <t>52,5</t>
  </si>
  <si>
    <t xml:space="preserve">Шмыров М. </t>
  </si>
  <si>
    <t>ВЕСОВАЯ КАТЕГОРИЯ   56</t>
  </si>
  <si>
    <t>Петровций Юлия</t>
  </si>
  <si>
    <t>Открытая (19.05.1990)/31</t>
  </si>
  <si>
    <t>55,00</t>
  </si>
  <si>
    <t xml:space="preserve">Сызрань/Самарская область </t>
  </si>
  <si>
    <t>47,5</t>
  </si>
  <si>
    <t>Замятина Наталья</t>
  </si>
  <si>
    <t>67,90</t>
  </si>
  <si>
    <t>75,0</t>
  </si>
  <si>
    <t>82,5</t>
  </si>
  <si>
    <t>Пронин Алексей</t>
  </si>
  <si>
    <t>Открытая (04.01.1990)/31</t>
  </si>
  <si>
    <t>66,90</t>
  </si>
  <si>
    <t>Луценко Сергей</t>
  </si>
  <si>
    <t>Юноши 15-19 (01.08.2002)/18</t>
  </si>
  <si>
    <t>73,60</t>
  </si>
  <si>
    <t>102,5</t>
  </si>
  <si>
    <t>Шушаркин Евгений</t>
  </si>
  <si>
    <t>Открытая (03.08.1990)/30</t>
  </si>
  <si>
    <t>72,90</t>
  </si>
  <si>
    <t>Зайниев Азат</t>
  </si>
  <si>
    <t>78,40</t>
  </si>
  <si>
    <t>Белянчиков Александр</t>
  </si>
  <si>
    <t>88,00</t>
  </si>
  <si>
    <t>Севрюков Евгений</t>
  </si>
  <si>
    <t>Открытая (08.07.1991)/29</t>
  </si>
  <si>
    <t>84,70</t>
  </si>
  <si>
    <t xml:space="preserve">Сорочинск/Оренбургская область </t>
  </si>
  <si>
    <t>Свешников Роман</t>
  </si>
  <si>
    <t>Открытая (30.09.1988)/32</t>
  </si>
  <si>
    <t>86,00</t>
  </si>
  <si>
    <t>152,5</t>
  </si>
  <si>
    <t>Максимов Виктор</t>
  </si>
  <si>
    <t>88,70</t>
  </si>
  <si>
    <t>Плотников Герман</t>
  </si>
  <si>
    <t>Открытая (08.05.1976)/45</t>
  </si>
  <si>
    <t>167,5</t>
  </si>
  <si>
    <t>172,5</t>
  </si>
  <si>
    <t>Курченко Павел</t>
  </si>
  <si>
    <t>Открытая (02.03.1989)/32</t>
  </si>
  <si>
    <t>96,80</t>
  </si>
  <si>
    <t>162,5</t>
  </si>
  <si>
    <t>Макушенко Николай</t>
  </si>
  <si>
    <t>Открытая (30.06.1996)/24</t>
  </si>
  <si>
    <t>99,30</t>
  </si>
  <si>
    <t>Антоненко Александр</t>
  </si>
  <si>
    <t>Алиев Сахиб</t>
  </si>
  <si>
    <t>Открытая (29.11.1988)/32</t>
  </si>
  <si>
    <t>109,90</t>
  </si>
  <si>
    <t>197,5</t>
  </si>
  <si>
    <t>ВЕСОВАЯ КАТЕГОРИЯ   140</t>
  </si>
  <si>
    <t>Пожидаев Олег</t>
  </si>
  <si>
    <t>Открытая (25.06.1992)/28</t>
  </si>
  <si>
    <t>131,50</t>
  </si>
  <si>
    <t>215,0</t>
  </si>
  <si>
    <t>Шушпанов Антон</t>
  </si>
  <si>
    <t>Открытая (04.10.1979)/41</t>
  </si>
  <si>
    <t>134,40</t>
  </si>
  <si>
    <t>133,5892</t>
  </si>
  <si>
    <t>140</t>
  </si>
  <si>
    <t>121,3460</t>
  </si>
  <si>
    <t>116,2682</t>
  </si>
  <si>
    <t>Яковлев Максим</t>
  </si>
  <si>
    <t>Открытая (17.06.1982)/39</t>
  </si>
  <si>
    <t>82,40</t>
  </si>
  <si>
    <t>Бакунц Гагик</t>
  </si>
  <si>
    <t>Открытая (22.03.1990)/31</t>
  </si>
  <si>
    <t>106,70</t>
  </si>
  <si>
    <t>107,40</t>
  </si>
  <si>
    <t>290,0</t>
  </si>
  <si>
    <t>Новлянский Виктор</t>
  </si>
  <si>
    <t>104,00</t>
  </si>
  <si>
    <t>Егоров Антон</t>
  </si>
  <si>
    <t>Открытая (11.02.1982)/39</t>
  </si>
  <si>
    <t>153,30</t>
  </si>
  <si>
    <t xml:space="preserve">Кузнецк/Пензенская область </t>
  </si>
  <si>
    <t>320,0</t>
  </si>
  <si>
    <t>350,0</t>
  </si>
  <si>
    <t>370,0</t>
  </si>
  <si>
    <t>Кнутова Татьяна</t>
  </si>
  <si>
    <t>Открытая (16.06.1972)/49</t>
  </si>
  <si>
    <t>66,20</t>
  </si>
  <si>
    <t>70,0</t>
  </si>
  <si>
    <t>72,5</t>
  </si>
  <si>
    <t>Иванов Вадим</t>
  </si>
  <si>
    <t>Открытая (07.08.1995)/25</t>
  </si>
  <si>
    <t>73,20</t>
  </si>
  <si>
    <t>Овинов Сергей</t>
  </si>
  <si>
    <t>Открытая (17.09.1976)/44</t>
  </si>
  <si>
    <t>97,20</t>
  </si>
  <si>
    <t>222,5</t>
  </si>
  <si>
    <t>Чистяков Николай</t>
  </si>
  <si>
    <t>Открытая (31.10.1984)/36</t>
  </si>
  <si>
    <t>250,0</t>
  </si>
  <si>
    <t>Губанов Александр</t>
  </si>
  <si>
    <t>72,60</t>
  </si>
  <si>
    <t>Gloss</t>
  </si>
  <si>
    <t>Мелконян Тигран</t>
  </si>
  <si>
    <t>66,50</t>
  </si>
  <si>
    <t>Луцук Виталий</t>
  </si>
  <si>
    <t>Открытая (20.03.1991)/30</t>
  </si>
  <si>
    <t>97,40</t>
  </si>
  <si>
    <t>Открытая (14.04.1980)/41</t>
  </si>
  <si>
    <t>Хитрин Дмитрий</t>
  </si>
  <si>
    <t>108,60</t>
  </si>
  <si>
    <t>Жим стоя</t>
  </si>
  <si>
    <t>Веткин Павел</t>
  </si>
  <si>
    <t>Открытая (16.04.1989)/32</t>
  </si>
  <si>
    <t>71,40</t>
  </si>
  <si>
    <t>67,5</t>
  </si>
  <si>
    <t>Калинкин Данил</t>
  </si>
  <si>
    <t>80,70</t>
  </si>
  <si>
    <t>65,0</t>
  </si>
  <si>
    <t>Муллагалиев Ильдар</t>
  </si>
  <si>
    <t>Открытая (25.05.1992)/29</t>
  </si>
  <si>
    <t>80,60</t>
  </si>
  <si>
    <t>Малахов Сергей</t>
  </si>
  <si>
    <t>Открытая (20.08.1991)/29</t>
  </si>
  <si>
    <t>77,80</t>
  </si>
  <si>
    <t>75,5</t>
  </si>
  <si>
    <t>ВЕСОВАЯ КАТЕГОРИЯ   60</t>
  </si>
  <si>
    <t>Хачатрян Смбат</t>
  </si>
  <si>
    <t>59,80</t>
  </si>
  <si>
    <t>Бутенко Сергей</t>
  </si>
  <si>
    <t>Эюбов Руслан</t>
  </si>
  <si>
    <t>81,30</t>
  </si>
  <si>
    <t>Алмосов Илья</t>
  </si>
  <si>
    <t>Открытая (07.12.1982)/38</t>
  </si>
  <si>
    <t>60,40</t>
  </si>
  <si>
    <t>Стецко Юрий</t>
  </si>
  <si>
    <t>Открытая (02.04.1986)/35</t>
  </si>
  <si>
    <t>106,50</t>
  </si>
  <si>
    <t>Асейдулин Ильсеяр</t>
  </si>
  <si>
    <t>53,40</t>
  </si>
  <si>
    <t>32,5</t>
  </si>
  <si>
    <t>35,0</t>
  </si>
  <si>
    <t>37,5</t>
  </si>
  <si>
    <t xml:space="preserve">Атаев В. </t>
  </si>
  <si>
    <t>Солдатов Максим</t>
  </si>
  <si>
    <t>Открытая (27.09.1982)/38</t>
  </si>
  <si>
    <t>86,40</t>
  </si>
  <si>
    <t>Тяга</t>
  </si>
  <si>
    <t>ВЕСОВАЯ КАТЕГОРИЯ   80</t>
  </si>
  <si>
    <t>ВЕСОВАЯ КАТЕГОРИЯ   130+</t>
  </si>
  <si>
    <t>Черняев Дмитрий</t>
  </si>
  <si>
    <t>Открытая (14.05.1985)/36</t>
  </si>
  <si>
    <t>73,30</t>
  </si>
  <si>
    <t>Попов Антон</t>
  </si>
  <si>
    <t>Открытая (11.01.1989)/32</t>
  </si>
  <si>
    <t>Воровкин Максим</t>
  </si>
  <si>
    <t>Мастера 40-49 (31.03.1980)/41</t>
  </si>
  <si>
    <t>64,50</t>
  </si>
  <si>
    <t>Буряшкин Николай</t>
  </si>
  <si>
    <t>Открытая (14.03.1992)/29</t>
  </si>
  <si>
    <t>97,60</t>
  </si>
  <si>
    <t>Всероссийский мастерский турнир "Взрывная сила"
СПР Жим лежа СФО
Самара/Самарская область, 19 июня 2021 года</t>
  </si>
  <si>
    <t>Всероссийский мастерский турнир "Взрывная сила"
ФЖД Армейский жим на максимум с ДК
Самара/Самарская область, 19 июня 2021 года</t>
  </si>
  <si>
    <t>Всероссийский мастерский турнир "Взрывная сила"
ФЖД Военный жим на максимум
Самара/Самарская область, 19 июня 2021 года</t>
  </si>
  <si>
    <t>Всероссийский мастерский турнир "Взрывная сила"
ФЖД Любители с ДК жим на максимум
Самара/Самарская область, 19 июня 2021 года</t>
  </si>
  <si>
    <t>Всероссийский мастерский турнир "Взрывная сила"
СПР Пауэрспорт ДК
Самара/Самарская область, 19 июня 2021 года</t>
  </si>
  <si>
    <t>Всероссийский мастерский турнир "Взрывная сила"
СПР Пауэрспорт
Самара/Самарская область, 19 июня 2021 года</t>
  </si>
  <si>
    <t>Всероссийский мастерский турнир "Взрывная сила"
СПР Строгий подъем штанги на бицепс ДК
Самара/Самарская область, 19 июня 2021 года</t>
  </si>
  <si>
    <t>Всероссийский мастерский турнир "Взрывная сила"
СПР Строгий подъем штанги на бицепс
Самара/Самарская область, 19 июня 2021 года</t>
  </si>
  <si>
    <t>Всероссийский мастерский турнир "Взрывная сила"
СПР Жим штанги стоя ДК
Самара/Самарская область, 19 июня 2021 года</t>
  </si>
  <si>
    <t>Всероссийский мастерский турнир "Взрывная сила"
СПР Жим лежа в однопетельной софт экипировке ДК
Самара/Самарская область, 19 июня 2021 года</t>
  </si>
  <si>
    <t>Всероссийский мастерский турнир "Взрывная сила"
СПР Жим лежа в однопетельной софт экипировке
Самара/Самарская область, 19 июня 2021 года</t>
  </si>
  <si>
    <t>Всероссийский мастерский турнир "Взрывная сила"
IPL Силовое двоеборье без экипировки ДК
Самара/Самарская область, 19 июня 2021 года</t>
  </si>
  <si>
    <t>Всероссийский мастерский турнир "Взрывная сила"
IPL Силовое двоеборье без экипировки
Самара/Самарская область, 19 июня 2021 года</t>
  </si>
  <si>
    <t>Всероссийский мастерский турнир "Взрывная сила"
IPL Становая тяга без экипировки ДК
Самара/Самарская область, 19 июня 2021 года</t>
  </si>
  <si>
    <t>Всероссийский мастерский турнир "Взрывная сила"
IPL Становая тяга без экипировки
Самара/Самарская область, 19 июня 2021 года</t>
  </si>
  <si>
    <t>Всероссийский мастерский турнир "Взрывная сила"
IPL Жим лежа в однослойной экипировке ДК
Самара/Самарская область, 19 июня 2021 года</t>
  </si>
  <si>
    <t>Всероссийский мастерский турнир "Взрывная сила"
IPL Жим лежа в однослойной экипировке
Самара/Самарская область, 19 июня 2021 года</t>
  </si>
  <si>
    <t>Всероссийский мастерский турнир "Взрывная сила"
IPL Жим лежа без экипировки ДК
Самара/Самарская область, 19 июня 2021 года</t>
  </si>
  <si>
    <t>Всероссийский мастерский турнир "Взрывная сила"
IPL Жим лежа без экипировки
Самара/Самарская область, 19 июня 2021 года</t>
  </si>
  <si>
    <t>Всероссийский мастерский турнир "Взрывная сила"
IPL Пауэрлифтинг в бинтах
Самара/Самарская область, 19 июня 2021 года</t>
  </si>
  <si>
    <t>Всероссийский мастерский турнир "Взрывная сила"
IPL Пауэрлифтинг без экипировки ДК
Самара/Самарская область, 19 июня 2021 года</t>
  </si>
  <si>
    <t>Всероссийский мастерский турнир "Взрывная сила"
IPL Пауэрлифтинг без экипировки
Самара/Самарская область, 19 июня 2021 года</t>
  </si>
  <si>
    <t>Губанов А.</t>
  </si>
  <si>
    <t>Самостоятельно</t>
  </si>
  <si>
    <t xml:space="preserve">Трухтанов П. </t>
  </si>
  <si>
    <t>Черноречье/Самарская область</t>
  </si>
  <si>
    <t xml:space="preserve">Агрыз/Республика Татарстан </t>
  </si>
  <si>
    <t xml:space="preserve">Уфа/Республика Башкортостан </t>
  </si>
  <si>
    <t>Хасаншин А.</t>
  </si>
  <si>
    <t>Мастера 40-44 (09.09.1979)/41</t>
  </si>
  <si>
    <t>Юниоры 20-23 (28.08.1999)/21</t>
  </si>
  <si>
    <t>Юноши 13-19 (19.10.2005)/15</t>
  </si>
  <si>
    <t>Юниоры 20-23 (06.03.1999)/22</t>
  </si>
  <si>
    <t>Юноши 13-19 (25.12.2003)/17</t>
  </si>
  <si>
    <t>Юниоры 20-23 (02.03.2000)/21</t>
  </si>
  <si>
    <t>Мастера 40-49 (14.04.1980)/41</t>
  </si>
  <si>
    <t>Мастера 40-49 (26.02.1977)/44</t>
  </si>
  <si>
    <t>Юниоры 20-23 (29.09.1999)/21</t>
  </si>
  <si>
    <t>Мастера 70-74 (06.02.1951)/70</t>
  </si>
  <si>
    <t>Мастера 40-44 (17.09.1976)/44</t>
  </si>
  <si>
    <t>Мастера 55-59 (01.11.1965)/55</t>
  </si>
  <si>
    <t>Мастера 70-74 (02.11.1949)/71</t>
  </si>
  <si>
    <t>Мастера 40-44 (14.04.1980)/41</t>
  </si>
  <si>
    <t>Юниоры 20-23 (18.07.2000)/20</t>
  </si>
  <si>
    <t>Мастера 45-49 (25.03.1975)/46</t>
  </si>
  <si>
    <t>Мастера 40-44 (08.06.1981)/40</t>
  </si>
  <si>
    <t>Мастера 45-49 (08.05.1976)/45</t>
  </si>
  <si>
    <t>Мастера 40-44 (04.10.1979)/41</t>
  </si>
  <si>
    <t>Мастера 40-44 (16.09.1978)/42</t>
  </si>
  <si>
    <t>Юниоры 20-23 (13.06.1998)/23</t>
  </si>
  <si>
    <t>Мастера 50-54 (30.03.1970)/51</t>
  </si>
  <si>
    <t>Весовая категория</t>
  </si>
  <si>
    <t>Трухтанов П.</t>
  </si>
  <si>
    <t>Кучин И.</t>
  </si>
  <si>
    <t xml:space="preserve">Черняев Д. </t>
  </si>
  <si>
    <t>Тоцкое Второе/Оренбургскаяобласть</t>
  </si>
  <si>
    <t xml:space="preserve">Муллагалиев И. </t>
  </si>
  <si>
    <t>Веткин П.</t>
  </si>
  <si>
    <t>Хомяков В.</t>
  </si>
  <si>
    <t xml:space="preserve">Бакалы/Республика Башкортостан </t>
  </si>
  <si>
    <t xml:space="preserve">Казань/Республика Татарстан </t>
  </si>
  <si>
    <t>Замятин И.</t>
  </si>
  <si>
    <t>Луцук В.</t>
  </si>
  <si>
    <t>Стецко Ю.</t>
  </si>
  <si>
    <t xml:space="preserve">Тоцкое Второе/Оренбургская область </t>
  </si>
  <si>
    <t>Кисловодск/Ставропольский край</t>
  </si>
  <si>
    <t>Ильченко А.</t>
  </si>
  <si>
    <t xml:space="preserve">Балашов В., Шарафисламов А. </t>
  </si>
  <si>
    <t xml:space="preserve">Климанов Я. </t>
  </si>
  <si>
    <t xml:space="preserve">Хитрин Д. </t>
  </si>
  <si>
    <t xml:space="preserve">Аверьянов В. </t>
  </si>
  <si>
    <t xml:space="preserve">Хасаншин А. </t>
  </si>
  <si>
    <t xml:space="preserve">Зарин А. </t>
  </si>
  <si>
    <t xml:space="preserve">Попов С. </t>
  </si>
  <si>
    <t>Новлянский В.</t>
  </si>
  <si>
    <t xml:space="preserve">Тресков В. </t>
  </si>
  <si>
    <t>Хитрин Д.</t>
  </si>
  <si>
    <t>Суслов Н.</t>
  </si>
  <si>
    <t>Cуслов Н.</t>
  </si>
  <si>
    <t>Колохин П.</t>
  </si>
  <si>
    <t xml:space="preserve">Зеленодольск/Республика Татарстан </t>
  </si>
  <si>
    <t>Аверьянов В.</t>
  </si>
  <si>
    <t>Ставрополь/Ставропольский край</t>
  </si>
  <si>
    <t>Тоцкое Второе/Оренбургская область</t>
  </si>
  <si>
    <t>Климанов Я.</t>
  </si>
  <si>
    <t>Луговой А.</t>
  </si>
  <si>
    <t>№</t>
  </si>
  <si>
    <t xml:space="preserve">
Дата рождения/Возраст</t>
  </si>
  <si>
    <t>Возрастная группа</t>
  </si>
  <si>
    <t>O</t>
  </si>
  <si>
    <t>Жим</t>
  </si>
  <si>
    <t>M1</t>
  </si>
  <si>
    <t>T</t>
  </si>
  <si>
    <t>J</t>
  </si>
  <si>
    <t>M4</t>
  </si>
  <si>
    <t>M7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</si>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</sst>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40"/>
  <sheetViews>
    <sheetView tabSelected="1" zoomScaleNormal="100"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5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39" t="s">
        <v>390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33" t="s">
        <v>10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87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83</v>
      </c>
      <c r="B6" s="7" t="s">
        <v>88</v>
      </c>
      <c r="C6" s="7" t="s">
        <v>89</v>
      </c>
      <c r="D6" s="7" t="s">
        <v>90</v>
      </c>
      <c r="E6" s="7" t="s">
        <v>462</v>
      </c>
      <c r="F6" s="7" t="s">
        <v>91</v>
      </c>
      <c r="G6" s="18" t="s">
        <v>92</v>
      </c>
      <c r="H6" s="18" t="s">
        <v>93</v>
      </c>
      <c r="I6" s="25" t="s">
        <v>94</v>
      </c>
      <c r="J6" s="8"/>
      <c r="K6" s="25" t="s">
        <v>95</v>
      </c>
      <c r="L6" s="25" t="s">
        <v>96</v>
      </c>
      <c r="M6" s="18" t="s">
        <v>96</v>
      </c>
      <c r="N6" s="8"/>
      <c r="O6" s="18" t="s">
        <v>93</v>
      </c>
      <c r="P6" s="18" t="s">
        <v>94</v>
      </c>
      <c r="Q6" s="18" t="s">
        <v>18</v>
      </c>
      <c r="R6" s="8"/>
      <c r="S6" s="8" t="str">
        <f>"225,0"</f>
        <v>225,0</v>
      </c>
      <c r="T6" s="8" t="str">
        <f>"280,4850"</f>
        <v>280,4850</v>
      </c>
      <c r="U6" s="7"/>
    </row>
    <row r="7" spans="1:21">
      <c r="B7" s="5" t="s">
        <v>84</v>
      </c>
    </row>
    <row r="8" spans="1:21" ht="16">
      <c r="A8" s="50" t="s">
        <v>97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8" t="s">
        <v>83</v>
      </c>
      <c r="B9" s="7" t="s">
        <v>98</v>
      </c>
      <c r="C9" s="7" t="s">
        <v>99</v>
      </c>
      <c r="D9" s="7" t="s">
        <v>100</v>
      </c>
      <c r="E9" s="7" t="s">
        <v>459</v>
      </c>
      <c r="F9" s="7" t="s">
        <v>452</v>
      </c>
      <c r="G9" s="18" t="s">
        <v>101</v>
      </c>
      <c r="H9" s="18" t="s">
        <v>17</v>
      </c>
      <c r="I9" s="18" t="s">
        <v>19</v>
      </c>
      <c r="J9" s="8"/>
      <c r="K9" s="18" t="s">
        <v>102</v>
      </c>
      <c r="L9" s="25" t="s">
        <v>103</v>
      </c>
      <c r="M9" s="25" t="s">
        <v>103</v>
      </c>
      <c r="N9" s="8"/>
      <c r="O9" s="18" t="s">
        <v>104</v>
      </c>
      <c r="P9" s="18" t="s">
        <v>105</v>
      </c>
      <c r="Q9" s="18" t="s">
        <v>106</v>
      </c>
      <c r="R9" s="8"/>
      <c r="S9" s="8" t="str">
        <f>"275,0"</f>
        <v>275,0</v>
      </c>
      <c r="T9" s="8" t="str">
        <f>"286,5500"</f>
        <v>286,5500</v>
      </c>
      <c r="U9" s="7" t="s">
        <v>436</v>
      </c>
    </row>
    <row r="10" spans="1:21">
      <c r="B10" s="5" t="s">
        <v>84</v>
      </c>
    </row>
    <row r="11" spans="1:21" ht="16">
      <c r="A11" s="50" t="s">
        <v>21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8" t="s">
        <v>83</v>
      </c>
      <c r="B12" s="7" t="s">
        <v>107</v>
      </c>
      <c r="C12" s="7" t="s">
        <v>108</v>
      </c>
      <c r="D12" s="7" t="s">
        <v>109</v>
      </c>
      <c r="E12" s="7" t="s">
        <v>459</v>
      </c>
      <c r="F12" s="7" t="s">
        <v>25</v>
      </c>
      <c r="G12" s="18" t="s">
        <v>94</v>
      </c>
      <c r="H12" s="18" t="s">
        <v>17</v>
      </c>
      <c r="I12" s="25" t="s">
        <v>19</v>
      </c>
      <c r="J12" s="8"/>
      <c r="K12" s="18" t="s">
        <v>95</v>
      </c>
      <c r="L12" s="25" t="s">
        <v>110</v>
      </c>
      <c r="M12" s="18" t="s">
        <v>110</v>
      </c>
      <c r="N12" s="8"/>
      <c r="O12" s="25" t="s">
        <v>15</v>
      </c>
      <c r="P12" s="18" t="s">
        <v>72</v>
      </c>
      <c r="Q12" s="18" t="s">
        <v>16</v>
      </c>
      <c r="R12" s="8"/>
      <c r="S12" s="8" t="str">
        <f>"270,0"</f>
        <v>270,0</v>
      </c>
      <c r="T12" s="8" t="str">
        <f>"234,1710"</f>
        <v>234,1710</v>
      </c>
      <c r="U12" s="7" t="s">
        <v>431</v>
      </c>
    </row>
    <row r="13" spans="1:21">
      <c r="B13" s="5" t="s">
        <v>84</v>
      </c>
    </row>
    <row r="14" spans="1:21" ht="16">
      <c r="A14" s="50" t="s">
        <v>97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>
      <c r="A15" s="8" t="s">
        <v>83</v>
      </c>
      <c r="B15" s="7" t="s">
        <v>111</v>
      </c>
      <c r="C15" s="7" t="s">
        <v>112</v>
      </c>
      <c r="D15" s="7" t="s">
        <v>100</v>
      </c>
      <c r="E15" s="7" t="s">
        <v>459</v>
      </c>
      <c r="F15" s="7" t="s">
        <v>25</v>
      </c>
      <c r="G15" s="18" t="s">
        <v>48</v>
      </c>
      <c r="H15" s="18" t="s">
        <v>30</v>
      </c>
      <c r="I15" s="25" t="s">
        <v>31</v>
      </c>
      <c r="J15" s="8"/>
      <c r="K15" s="18" t="s">
        <v>14</v>
      </c>
      <c r="L15" s="18" t="s">
        <v>71</v>
      </c>
      <c r="M15" s="25" t="s">
        <v>15</v>
      </c>
      <c r="N15" s="8"/>
      <c r="O15" s="18" t="s">
        <v>59</v>
      </c>
      <c r="P15" s="18" t="s">
        <v>31</v>
      </c>
      <c r="Q15" s="25" t="s">
        <v>60</v>
      </c>
      <c r="R15" s="8"/>
      <c r="S15" s="8" t="str">
        <f>"420,0"</f>
        <v>420,0</v>
      </c>
      <c r="T15" s="8" t="str">
        <f>"331,4220"</f>
        <v>331,4220</v>
      </c>
      <c r="U15" s="7" t="s">
        <v>454</v>
      </c>
    </row>
    <row r="16" spans="1:21">
      <c r="B16" s="5" t="s">
        <v>84</v>
      </c>
    </row>
    <row r="17" spans="1:21" ht="16">
      <c r="A17" s="50" t="s">
        <v>113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21">
      <c r="A18" s="10" t="s">
        <v>83</v>
      </c>
      <c r="B18" s="9" t="s">
        <v>114</v>
      </c>
      <c r="C18" s="9" t="s">
        <v>115</v>
      </c>
      <c r="D18" s="9" t="s">
        <v>116</v>
      </c>
      <c r="E18" s="9" t="s">
        <v>459</v>
      </c>
      <c r="F18" s="9" t="s">
        <v>117</v>
      </c>
      <c r="G18" s="19" t="s">
        <v>30</v>
      </c>
      <c r="H18" s="19" t="s">
        <v>60</v>
      </c>
      <c r="I18" s="20" t="s">
        <v>118</v>
      </c>
      <c r="J18" s="10"/>
      <c r="K18" s="19" t="s">
        <v>73</v>
      </c>
      <c r="L18" s="19" t="s">
        <v>14</v>
      </c>
      <c r="M18" s="19" t="s">
        <v>71</v>
      </c>
      <c r="N18" s="10"/>
      <c r="O18" s="19" t="s">
        <v>119</v>
      </c>
      <c r="P18" s="20" t="s">
        <v>61</v>
      </c>
      <c r="Q18" s="20" t="s">
        <v>27</v>
      </c>
      <c r="R18" s="10"/>
      <c r="S18" s="10" t="str">
        <f>"485,0"</f>
        <v>485,0</v>
      </c>
      <c r="T18" s="10" t="str">
        <f>"347,8905"</f>
        <v>347,8905</v>
      </c>
      <c r="U18" s="9"/>
    </row>
    <row r="19" spans="1:21">
      <c r="A19" s="24" t="s">
        <v>85</v>
      </c>
      <c r="B19" s="23" t="s">
        <v>120</v>
      </c>
      <c r="C19" s="23" t="s">
        <v>121</v>
      </c>
      <c r="D19" s="23" t="s">
        <v>122</v>
      </c>
      <c r="E19" s="23" t="s">
        <v>459</v>
      </c>
      <c r="F19" s="23" t="s">
        <v>25</v>
      </c>
      <c r="G19" s="26" t="s">
        <v>68</v>
      </c>
      <c r="H19" s="26" t="s">
        <v>38</v>
      </c>
      <c r="I19" s="26" t="s">
        <v>56</v>
      </c>
      <c r="J19" s="24"/>
      <c r="K19" s="26" t="s">
        <v>19</v>
      </c>
      <c r="L19" s="27" t="s">
        <v>73</v>
      </c>
      <c r="M19" s="27" t="s">
        <v>73</v>
      </c>
      <c r="N19" s="24"/>
      <c r="O19" s="26" t="s">
        <v>60</v>
      </c>
      <c r="P19" s="26" t="s">
        <v>37</v>
      </c>
      <c r="Q19" s="27" t="s">
        <v>47</v>
      </c>
      <c r="R19" s="24"/>
      <c r="S19" s="24" t="str">
        <f>"470,0"</f>
        <v>470,0</v>
      </c>
      <c r="T19" s="24" t="str">
        <f>"336,1440"</f>
        <v>336,1440</v>
      </c>
      <c r="U19" s="23" t="s">
        <v>454</v>
      </c>
    </row>
    <row r="20" spans="1:21">
      <c r="A20" s="12" t="s">
        <v>148</v>
      </c>
      <c r="B20" s="11" t="s">
        <v>123</v>
      </c>
      <c r="C20" s="11" t="s">
        <v>124</v>
      </c>
      <c r="D20" s="11" t="s">
        <v>125</v>
      </c>
      <c r="E20" s="11" t="s">
        <v>459</v>
      </c>
      <c r="F20" s="11" t="s">
        <v>25</v>
      </c>
      <c r="G20" s="21" t="s">
        <v>59</v>
      </c>
      <c r="H20" s="21" t="s">
        <v>31</v>
      </c>
      <c r="I20" s="21" t="s">
        <v>118</v>
      </c>
      <c r="J20" s="12"/>
      <c r="K20" s="21" t="s">
        <v>73</v>
      </c>
      <c r="L20" s="21" t="s">
        <v>14</v>
      </c>
      <c r="M20" s="22" t="s">
        <v>105</v>
      </c>
      <c r="N20" s="12"/>
      <c r="O20" s="21" t="s">
        <v>30</v>
      </c>
      <c r="P20" s="21" t="s">
        <v>60</v>
      </c>
      <c r="Q20" s="22" t="s">
        <v>118</v>
      </c>
      <c r="R20" s="12"/>
      <c r="S20" s="12" t="str">
        <f>"435,0"</f>
        <v>435,0</v>
      </c>
      <c r="T20" s="12" t="str">
        <f>"317,8545"</f>
        <v>317,8545</v>
      </c>
      <c r="U20" s="11" t="s">
        <v>454</v>
      </c>
    </row>
    <row r="21" spans="1:21">
      <c r="B21" s="5" t="s">
        <v>84</v>
      </c>
    </row>
    <row r="22" spans="1:21" ht="16">
      <c r="A22" s="50" t="s">
        <v>11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21">
      <c r="A23" s="8" t="s">
        <v>83</v>
      </c>
      <c r="B23" s="7" t="s">
        <v>126</v>
      </c>
      <c r="C23" s="7" t="s">
        <v>127</v>
      </c>
      <c r="D23" s="7" t="s">
        <v>128</v>
      </c>
      <c r="E23" s="7" t="s">
        <v>462</v>
      </c>
      <c r="F23" s="7" t="s">
        <v>453</v>
      </c>
      <c r="G23" s="18" t="s">
        <v>15</v>
      </c>
      <c r="H23" s="18" t="s">
        <v>29</v>
      </c>
      <c r="I23" s="18" t="s">
        <v>59</v>
      </c>
      <c r="J23" s="8"/>
      <c r="K23" s="18" t="s">
        <v>92</v>
      </c>
      <c r="L23" s="18" t="s">
        <v>94</v>
      </c>
      <c r="M23" s="18" t="s">
        <v>19</v>
      </c>
      <c r="N23" s="8"/>
      <c r="O23" s="25" t="s">
        <v>48</v>
      </c>
      <c r="P23" s="18" t="s">
        <v>30</v>
      </c>
      <c r="Q23" s="18" t="s">
        <v>60</v>
      </c>
      <c r="R23" s="8"/>
      <c r="S23" s="8" t="str">
        <f>"405,0"</f>
        <v>405,0</v>
      </c>
      <c r="T23" s="8" t="str">
        <f>"271,3095"</f>
        <v>271,3095</v>
      </c>
      <c r="U23" s="7" t="s">
        <v>433</v>
      </c>
    </row>
    <row r="24" spans="1:21">
      <c r="B24" s="5" t="s">
        <v>84</v>
      </c>
    </row>
    <row r="25" spans="1:21" ht="16">
      <c r="A25" s="50" t="s">
        <v>21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21">
      <c r="A26" s="8" t="s">
        <v>83</v>
      </c>
      <c r="B26" s="7" t="s">
        <v>129</v>
      </c>
      <c r="C26" s="7" t="s">
        <v>130</v>
      </c>
      <c r="D26" s="7" t="s">
        <v>131</v>
      </c>
      <c r="E26" s="7" t="s">
        <v>459</v>
      </c>
      <c r="F26" s="7" t="s">
        <v>132</v>
      </c>
      <c r="G26" s="18" t="s">
        <v>47</v>
      </c>
      <c r="H26" s="18" t="s">
        <v>56</v>
      </c>
      <c r="I26" s="25" t="s">
        <v>26</v>
      </c>
      <c r="J26" s="8"/>
      <c r="K26" s="25" t="s">
        <v>133</v>
      </c>
      <c r="L26" s="18" t="s">
        <v>133</v>
      </c>
      <c r="M26" s="25" t="s">
        <v>30</v>
      </c>
      <c r="N26" s="8"/>
      <c r="O26" s="18" t="s">
        <v>119</v>
      </c>
      <c r="P26" s="18" t="s">
        <v>134</v>
      </c>
      <c r="Q26" s="25" t="s">
        <v>28</v>
      </c>
      <c r="R26" s="8"/>
      <c r="S26" s="8" t="str">
        <f>"567,5"</f>
        <v>567,5</v>
      </c>
      <c r="T26" s="8" t="str">
        <f>"364,5620"</f>
        <v>364,5620</v>
      </c>
      <c r="U26" s="7"/>
    </row>
    <row r="27" spans="1:21">
      <c r="B27" s="5" t="s">
        <v>84</v>
      </c>
    </row>
    <row r="28" spans="1:21" ht="16">
      <c r="A28" s="50" t="s">
        <v>135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21">
      <c r="A29" s="8" t="s">
        <v>83</v>
      </c>
      <c r="B29" s="7" t="s">
        <v>136</v>
      </c>
      <c r="C29" s="7" t="s">
        <v>419</v>
      </c>
      <c r="D29" s="7" t="s">
        <v>137</v>
      </c>
      <c r="E29" s="7" t="s">
        <v>463</v>
      </c>
      <c r="F29" s="7" t="s">
        <v>138</v>
      </c>
      <c r="G29" s="18" t="s">
        <v>47</v>
      </c>
      <c r="H29" s="18" t="s">
        <v>41</v>
      </c>
      <c r="I29" s="18" t="s">
        <v>27</v>
      </c>
      <c r="J29" s="8"/>
      <c r="K29" s="18" t="s">
        <v>72</v>
      </c>
      <c r="L29" s="25" t="s">
        <v>29</v>
      </c>
      <c r="M29" s="18" t="s">
        <v>59</v>
      </c>
      <c r="N29" s="8"/>
      <c r="O29" s="18" t="s">
        <v>41</v>
      </c>
      <c r="P29" s="18" t="s">
        <v>42</v>
      </c>
      <c r="Q29" s="25" t="s">
        <v>139</v>
      </c>
      <c r="R29" s="8"/>
      <c r="S29" s="8" t="str">
        <f>"590,0"</f>
        <v>590,0</v>
      </c>
      <c r="T29" s="8" t="str">
        <f>"338,2470"</f>
        <v>338,2470</v>
      </c>
      <c r="U29" s="7" t="s">
        <v>455</v>
      </c>
    </row>
    <row r="30" spans="1:21">
      <c r="B30" s="5" t="s">
        <v>84</v>
      </c>
    </row>
    <row r="31" spans="1:21">
      <c r="B31" s="5" t="s">
        <v>84</v>
      </c>
    </row>
    <row r="32" spans="1:21">
      <c r="B32" s="5" t="s">
        <v>84</v>
      </c>
    </row>
    <row r="33" spans="2:6" ht="18">
      <c r="B33" s="13" t="s">
        <v>74</v>
      </c>
      <c r="C33" s="13"/>
      <c r="F33" s="3"/>
    </row>
    <row r="34" spans="2:6" ht="16">
      <c r="B34" s="14" t="s">
        <v>75</v>
      </c>
      <c r="C34" s="14"/>
      <c r="F34" s="3"/>
    </row>
    <row r="35" spans="2:6" ht="14">
      <c r="B35" s="15"/>
      <c r="C35" s="16" t="s">
        <v>76</v>
      </c>
      <c r="F35" s="3"/>
    </row>
    <row r="36" spans="2:6" ht="14">
      <c r="B36" s="17" t="s">
        <v>77</v>
      </c>
      <c r="C36" s="17" t="s">
        <v>78</v>
      </c>
      <c r="D36" s="17" t="s">
        <v>79</v>
      </c>
      <c r="E36" s="17" t="s">
        <v>80</v>
      </c>
      <c r="F36" s="17" t="s">
        <v>81</v>
      </c>
    </row>
    <row r="37" spans="2:6">
      <c r="B37" s="5" t="s">
        <v>129</v>
      </c>
      <c r="C37" s="5" t="s">
        <v>76</v>
      </c>
      <c r="D37" s="6" t="s">
        <v>82</v>
      </c>
      <c r="E37" s="6" t="s">
        <v>141</v>
      </c>
      <c r="F37" s="6" t="s">
        <v>142</v>
      </c>
    </row>
    <row r="38" spans="2:6">
      <c r="B38" s="5" t="s">
        <v>114</v>
      </c>
      <c r="C38" s="5" t="s">
        <v>76</v>
      </c>
      <c r="D38" s="6" t="s">
        <v>143</v>
      </c>
      <c r="E38" s="6" t="s">
        <v>144</v>
      </c>
      <c r="F38" s="6" t="s">
        <v>145</v>
      </c>
    </row>
    <row r="39" spans="2:6">
      <c r="B39" s="5" t="s">
        <v>120</v>
      </c>
      <c r="C39" s="5" t="s">
        <v>76</v>
      </c>
      <c r="D39" s="6" t="s">
        <v>143</v>
      </c>
      <c r="E39" s="6" t="s">
        <v>146</v>
      </c>
      <c r="F39" s="6" t="s">
        <v>147</v>
      </c>
    </row>
    <row r="40" spans="2:6">
      <c r="B40" s="5" t="s">
        <v>84</v>
      </c>
    </row>
  </sheetData>
  <mergeCells count="21">
    <mergeCell ref="A28:R28"/>
    <mergeCell ref="B3:B4"/>
    <mergeCell ref="A8:R8"/>
    <mergeCell ref="A11:R11"/>
    <mergeCell ref="A14:R14"/>
    <mergeCell ref="A17:R17"/>
    <mergeCell ref="A22:R22"/>
    <mergeCell ref="A25:R25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9" t="s">
        <v>379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113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0" t="s">
        <v>83</v>
      </c>
      <c r="B6" s="9" t="s">
        <v>221</v>
      </c>
      <c r="C6" s="9" t="s">
        <v>317</v>
      </c>
      <c r="D6" s="9" t="s">
        <v>222</v>
      </c>
      <c r="E6" s="9" t="s">
        <v>459</v>
      </c>
      <c r="F6" s="9" t="s">
        <v>25</v>
      </c>
      <c r="G6" s="19" t="s">
        <v>73</v>
      </c>
      <c r="H6" s="19" t="s">
        <v>14</v>
      </c>
      <c r="I6" s="19" t="s">
        <v>71</v>
      </c>
      <c r="J6" s="19" t="s">
        <v>15</v>
      </c>
      <c r="K6" s="10" t="str">
        <f>"115,0"</f>
        <v>115,0</v>
      </c>
      <c r="L6" s="10" t="str">
        <f>"102,9710"</f>
        <v>102,9710</v>
      </c>
      <c r="M6" s="9" t="s">
        <v>431</v>
      </c>
    </row>
    <row r="7" spans="1:13">
      <c r="A7" s="12" t="s">
        <v>83</v>
      </c>
      <c r="B7" s="11" t="s">
        <v>221</v>
      </c>
      <c r="C7" s="11" t="s">
        <v>405</v>
      </c>
      <c r="D7" s="11" t="s">
        <v>222</v>
      </c>
      <c r="E7" s="11" t="s">
        <v>461</v>
      </c>
      <c r="F7" s="11" t="s">
        <v>25</v>
      </c>
      <c r="G7" s="21" t="s">
        <v>73</v>
      </c>
      <c r="H7" s="21" t="s">
        <v>14</v>
      </c>
      <c r="I7" s="21" t="s">
        <v>71</v>
      </c>
      <c r="J7" s="21" t="s">
        <v>15</v>
      </c>
      <c r="K7" s="12" t="str">
        <f>"115,0"</f>
        <v>115,0</v>
      </c>
      <c r="L7" s="12" t="str">
        <f>"104,0007"</f>
        <v>104,0007</v>
      </c>
      <c r="M7" s="11" t="s">
        <v>431</v>
      </c>
    </row>
    <row r="8" spans="1:13">
      <c r="B8" s="5" t="s">
        <v>84</v>
      </c>
    </row>
    <row r="9" spans="1:13" ht="16">
      <c r="A9" s="50" t="s">
        <v>11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8" t="s">
        <v>83</v>
      </c>
      <c r="B10" s="7" t="s">
        <v>179</v>
      </c>
      <c r="C10" s="7" t="s">
        <v>180</v>
      </c>
      <c r="D10" s="7" t="s">
        <v>181</v>
      </c>
      <c r="E10" s="7" t="s">
        <v>459</v>
      </c>
      <c r="F10" s="7" t="s">
        <v>25</v>
      </c>
      <c r="G10" s="18" t="s">
        <v>68</v>
      </c>
      <c r="H10" s="8"/>
      <c r="I10" s="8"/>
      <c r="J10" s="8"/>
      <c r="K10" s="8" t="str">
        <f>"180,0"</f>
        <v>180,0</v>
      </c>
      <c r="L10" s="8" t="str">
        <f>"118,6110"</f>
        <v>118,6110</v>
      </c>
      <c r="M10" s="7"/>
    </row>
    <row r="11" spans="1:13">
      <c r="B11" s="5" t="s">
        <v>84</v>
      </c>
    </row>
    <row r="12" spans="1:13" ht="16">
      <c r="A12" s="50" t="s">
        <v>63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8" t="s">
        <v>83</v>
      </c>
      <c r="B13" s="7" t="s">
        <v>318</v>
      </c>
      <c r="C13" s="7" t="s">
        <v>406</v>
      </c>
      <c r="D13" s="7" t="s">
        <v>319</v>
      </c>
      <c r="E13" s="7" t="s">
        <v>461</v>
      </c>
      <c r="F13" s="7" t="s">
        <v>25</v>
      </c>
      <c r="G13" s="25" t="s">
        <v>269</v>
      </c>
      <c r="H13" s="25" t="s">
        <v>269</v>
      </c>
      <c r="I13" s="18" t="s">
        <v>269</v>
      </c>
      <c r="J13" s="8"/>
      <c r="K13" s="8" t="str">
        <f>"215,0"</f>
        <v>215,0</v>
      </c>
      <c r="L13" s="8" t="str">
        <f>"126,5975"</f>
        <v>126,5975</v>
      </c>
      <c r="M13" s="7"/>
    </row>
    <row r="14" spans="1:13">
      <c r="B14" s="5" t="s">
        <v>84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9" t="s">
        <v>380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97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312</v>
      </c>
      <c r="C6" s="7" t="s">
        <v>407</v>
      </c>
      <c r="D6" s="7" t="s">
        <v>313</v>
      </c>
      <c r="E6" s="7" t="s">
        <v>463</v>
      </c>
      <c r="F6" s="7" t="s">
        <v>25</v>
      </c>
      <c r="G6" s="18" t="s">
        <v>60</v>
      </c>
      <c r="H6" s="18" t="s">
        <v>67</v>
      </c>
      <c r="I6" s="25" t="s">
        <v>37</v>
      </c>
      <c r="J6" s="8"/>
      <c r="K6" s="8" t="str">
        <f>"170,0"</f>
        <v>170,0</v>
      </c>
      <c r="L6" s="8" t="str">
        <f>"128,8685"</f>
        <v>128,8685</v>
      </c>
      <c r="M6" s="7" t="s">
        <v>432</v>
      </c>
    </row>
    <row r="7" spans="1:13">
      <c r="B7" s="5" t="s">
        <v>84</v>
      </c>
    </row>
    <row r="8" spans="1:13" ht="16">
      <c r="A8" s="50" t="s">
        <v>11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83</v>
      </c>
      <c r="B9" s="7" t="s">
        <v>179</v>
      </c>
      <c r="C9" s="7" t="s">
        <v>180</v>
      </c>
      <c r="D9" s="7" t="s">
        <v>181</v>
      </c>
      <c r="E9" s="7" t="s">
        <v>459</v>
      </c>
      <c r="F9" s="7" t="s">
        <v>25</v>
      </c>
      <c r="G9" s="18" t="s">
        <v>68</v>
      </c>
      <c r="H9" s="8"/>
      <c r="I9" s="8"/>
      <c r="J9" s="8"/>
      <c r="K9" s="8" t="str">
        <f>"180,0"</f>
        <v>180,0</v>
      </c>
      <c r="L9" s="8" t="str">
        <f>"118,6110"</f>
        <v>118,6110</v>
      </c>
      <c r="M9" s="7"/>
    </row>
    <row r="10" spans="1:13">
      <c r="B10" s="5" t="s">
        <v>84</v>
      </c>
    </row>
    <row r="11" spans="1:13" ht="16">
      <c r="A11" s="50" t="s">
        <v>43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83</v>
      </c>
      <c r="B12" s="7" t="s">
        <v>314</v>
      </c>
      <c r="C12" s="7" t="s">
        <v>315</v>
      </c>
      <c r="D12" s="7" t="s">
        <v>316</v>
      </c>
      <c r="E12" s="7" t="s">
        <v>459</v>
      </c>
      <c r="F12" s="7" t="s">
        <v>25</v>
      </c>
      <c r="G12" s="18" t="s">
        <v>119</v>
      </c>
      <c r="H12" s="18" t="s">
        <v>27</v>
      </c>
      <c r="I12" s="25" t="s">
        <v>193</v>
      </c>
      <c r="J12" s="8"/>
      <c r="K12" s="8" t="str">
        <f>"220,0"</f>
        <v>220,0</v>
      </c>
      <c r="L12" s="8" t="str">
        <f>"129,3600"</f>
        <v>129,3600</v>
      </c>
      <c r="M12" s="7"/>
    </row>
    <row r="13" spans="1:13">
      <c r="B13" s="5" t="s">
        <v>84</v>
      </c>
    </row>
    <row r="14" spans="1:13" ht="16">
      <c r="A14" s="50" t="s">
        <v>135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83</v>
      </c>
      <c r="B15" s="7" t="s">
        <v>189</v>
      </c>
      <c r="C15" s="7" t="s">
        <v>190</v>
      </c>
      <c r="D15" s="7" t="s">
        <v>191</v>
      </c>
      <c r="E15" s="7" t="s">
        <v>459</v>
      </c>
      <c r="F15" s="7" t="s">
        <v>25</v>
      </c>
      <c r="G15" s="18" t="s">
        <v>152</v>
      </c>
      <c r="H15" s="18" t="s">
        <v>284</v>
      </c>
      <c r="I15" s="18" t="s">
        <v>155</v>
      </c>
      <c r="J15" s="8"/>
      <c r="K15" s="8" t="str">
        <f>"295,0"</f>
        <v>295,0</v>
      </c>
      <c r="L15" s="8" t="str">
        <f>"164,4182"</f>
        <v>164,4182</v>
      </c>
      <c r="M15" s="7"/>
    </row>
    <row r="16" spans="1:13">
      <c r="B16" s="5" t="s">
        <v>84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3.1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9" t="s">
        <v>370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54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5"/>
      <c r="L4" s="34"/>
      <c r="M4" s="36"/>
    </row>
    <row r="5" spans="1:13" ht="16">
      <c r="A5" s="37" t="s">
        <v>97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0" t="s">
        <v>83</v>
      </c>
      <c r="B6" s="9" t="s">
        <v>362</v>
      </c>
      <c r="C6" s="9" t="s">
        <v>363</v>
      </c>
      <c r="D6" s="9" t="s">
        <v>175</v>
      </c>
      <c r="E6" s="9" t="s">
        <v>459</v>
      </c>
      <c r="F6" s="9" t="s">
        <v>202</v>
      </c>
      <c r="G6" s="19" t="s">
        <v>73</v>
      </c>
      <c r="H6" s="20" t="s">
        <v>14</v>
      </c>
      <c r="I6" s="20" t="s">
        <v>105</v>
      </c>
      <c r="J6" s="10"/>
      <c r="K6" s="29" t="str">
        <f>"105,0"</f>
        <v>105,0</v>
      </c>
      <c r="L6" s="10" t="str">
        <f>"82,3305"</f>
        <v>82,3305</v>
      </c>
      <c r="M6" s="9" t="s">
        <v>392</v>
      </c>
    </row>
    <row r="7" spans="1:13">
      <c r="A7" s="12" t="s">
        <v>86</v>
      </c>
      <c r="B7" s="11" t="s">
        <v>364</v>
      </c>
      <c r="C7" s="11" t="s">
        <v>365</v>
      </c>
      <c r="D7" s="11" t="s">
        <v>366</v>
      </c>
      <c r="E7" s="11" t="s">
        <v>461</v>
      </c>
      <c r="F7" s="11" t="s">
        <v>202</v>
      </c>
      <c r="G7" s="22" t="s">
        <v>327</v>
      </c>
      <c r="H7" s="22" t="s">
        <v>327</v>
      </c>
      <c r="I7" s="22" t="s">
        <v>327</v>
      </c>
      <c r="J7" s="12"/>
      <c r="K7" s="30">
        <v>0</v>
      </c>
      <c r="L7" s="12" t="str">
        <f>"0,0000"</f>
        <v>0,0000</v>
      </c>
      <c r="M7" s="11" t="s">
        <v>392</v>
      </c>
    </row>
    <row r="8" spans="1:13">
      <c r="B8" s="5" t="s">
        <v>84</v>
      </c>
    </row>
    <row r="9" spans="1:13" ht="16">
      <c r="A9" s="50" t="s">
        <v>43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8" t="s">
        <v>83</v>
      </c>
      <c r="B10" s="7" t="s">
        <v>367</v>
      </c>
      <c r="C10" s="7" t="s">
        <v>368</v>
      </c>
      <c r="D10" s="7" t="s">
        <v>369</v>
      </c>
      <c r="E10" s="7" t="s">
        <v>459</v>
      </c>
      <c r="F10" s="7" t="s">
        <v>25</v>
      </c>
      <c r="G10" s="18" t="s">
        <v>29</v>
      </c>
      <c r="H10" s="25" t="s">
        <v>48</v>
      </c>
      <c r="I10" s="18" t="s">
        <v>48</v>
      </c>
      <c r="J10" s="8"/>
      <c r="K10" s="31" t="str">
        <f>"140,0"</f>
        <v>140,0</v>
      </c>
      <c r="L10" s="8" t="str">
        <f>"82,2430"</f>
        <v>82,2430</v>
      </c>
      <c r="M10" s="7" t="s">
        <v>393</v>
      </c>
    </row>
    <row r="11" spans="1:13">
      <c r="B11" s="5" t="s">
        <v>84</v>
      </c>
    </row>
    <row r="12" spans="1:13" ht="16">
      <c r="A12" s="50" t="s">
        <v>198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8" t="s">
        <v>83</v>
      </c>
      <c r="B13" s="7" t="s">
        <v>199</v>
      </c>
      <c r="C13" s="7" t="s">
        <v>200</v>
      </c>
      <c r="D13" s="7" t="s">
        <v>201</v>
      </c>
      <c r="E13" s="7" t="s">
        <v>461</v>
      </c>
      <c r="F13" s="7" t="s">
        <v>202</v>
      </c>
      <c r="G13" s="18" t="s">
        <v>92</v>
      </c>
      <c r="H13" s="18" t="s">
        <v>94</v>
      </c>
      <c r="I13" s="25" t="s">
        <v>73</v>
      </c>
      <c r="J13" s="8"/>
      <c r="K13" s="31" t="str">
        <f>"90,0"</f>
        <v>90,0</v>
      </c>
      <c r="L13" s="8" t="str">
        <f>"48,4979"</f>
        <v>48,4979</v>
      </c>
      <c r="M13" s="7" t="s">
        <v>203</v>
      </c>
    </row>
    <row r="14" spans="1:13">
      <c r="B14" s="5" t="s">
        <v>84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6.6640625" style="5" bestFit="1" customWidth="1"/>
    <col min="14" max="16384" width="9.1640625" style="3"/>
  </cols>
  <sheetData>
    <row r="1" spans="1:13" s="2" customFormat="1" ht="29" customHeight="1">
      <c r="A1" s="39" t="s">
        <v>383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10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97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294</v>
      </c>
      <c r="C6" s="7" t="s">
        <v>295</v>
      </c>
      <c r="D6" s="7" t="s">
        <v>296</v>
      </c>
      <c r="E6" s="7" t="s">
        <v>459</v>
      </c>
      <c r="F6" s="7" t="s">
        <v>25</v>
      </c>
      <c r="G6" s="18" t="s">
        <v>31</v>
      </c>
      <c r="H6" s="18" t="s">
        <v>60</v>
      </c>
      <c r="I6" s="8"/>
      <c r="J6" s="8"/>
      <c r="K6" s="8" t="str">
        <f>"160,0"</f>
        <v>160,0</v>
      </c>
      <c r="L6" s="8" t="str">
        <f>"165,6160"</f>
        <v>165,6160</v>
      </c>
      <c r="M6" s="7" t="s">
        <v>422</v>
      </c>
    </row>
    <row r="7" spans="1:13">
      <c r="B7" s="5" t="s">
        <v>84</v>
      </c>
    </row>
    <row r="8" spans="1:13" ht="16">
      <c r="A8" s="50" t="s">
        <v>21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83</v>
      </c>
      <c r="B9" s="7" t="s">
        <v>107</v>
      </c>
      <c r="C9" s="7" t="s">
        <v>108</v>
      </c>
      <c r="D9" s="7" t="s">
        <v>109</v>
      </c>
      <c r="E9" s="7" t="s">
        <v>459</v>
      </c>
      <c r="F9" s="7" t="s">
        <v>25</v>
      </c>
      <c r="G9" s="25" t="s">
        <v>15</v>
      </c>
      <c r="H9" s="18" t="s">
        <v>72</v>
      </c>
      <c r="I9" s="18" t="s">
        <v>16</v>
      </c>
      <c r="J9" s="8"/>
      <c r="K9" s="8" t="str">
        <f>"130,0"</f>
        <v>130,0</v>
      </c>
      <c r="L9" s="8" t="str">
        <f>"112,7490"</f>
        <v>112,7490</v>
      </c>
      <c r="M9" s="7" t="s">
        <v>431</v>
      </c>
    </row>
    <row r="10" spans="1:13">
      <c r="B10" s="5" t="s">
        <v>84</v>
      </c>
    </row>
    <row r="11" spans="1:13" ht="16">
      <c r="A11" s="50" t="s">
        <v>113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83</v>
      </c>
      <c r="B12" s="7" t="s">
        <v>299</v>
      </c>
      <c r="C12" s="7" t="s">
        <v>300</v>
      </c>
      <c r="D12" s="7" t="s">
        <v>301</v>
      </c>
      <c r="E12" s="7" t="s">
        <v>459</v>
      </c>
      <c r="F12" s="7" t="s">
        <v>202</v>
      </c>
      <c r="G12" s="18" t="s">
        <v>56</v>
      </c>
      <c r="H12" s="25" t="s">
        <v>41</v>
      </c>
      <c r="I12" s="25" t="s">
        <v>41</v>
      </c>
      <c r="J12" s="8"/>
      <c r="K12" s="8" t="str">
        <f>"195,0"</f>
        <v>195,0</v>
      </c>
      <c r="L12" s="8" t="str">
        <f>"141,3555"</f>
        <v>141,3555</v>
      </c>
      <c r="M12" s="7"/>
    </row>
    <row r="13" spans="1:13">
      <c r="B13" s="5" t="s">
        <v>84</v>
      </c>
    </row>
    <row r="14" spans="1:13" ht="16">
      <c r="A14" s="50" t="s">
        <v>11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83</v>
      </c>
      <c r="B15" s="7" t="s">
        <v>126</v>
      </c>
      <c r="C15" s="7" t="s">
        <v>127</v>
      </c>
      <c r="D15" s="7" t="s">
        <v>128</v>
      </c>
      <c r="E15" s="7" t="s">
        <v>462</v>
      </c>
      <c r="F15" s="7" t="s">
        <v>434</v>
      </c>
      <c r="G15" s="25" t="s">
        <v>48</v>
      </c>
      <c r="H15" s="18" t="s">
        <v>30</v>
      </c>
      <c r="I15" s="18" t="s">
        <v>60</v>
      </c>
      <c r="J15" s="8"/>
      <c r="K15" s="8" t="str">
        <f>"160,0"</f>
        <v>160,0</v>
      </c>
      <c r="L15" s="8" t="str">
        <f>"107,1840"</f>
        <v>107,1840</v>
      </c>
      <c r="M15" s="7" t="s">
        <v>433</v>
      </c>
    </row>
    <row r="16" spans="1:13">
      <c r="B16" s="5" t="s">
        <v>84</v>
      </c>
    </row>
    <row r="17" spans="1:13" ht="16">
      <c r="A17" s="50" t="s">
        <v>21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8" t="s">
        <v>83</v>
      </c>
      <c r="B18" s="7" t="s">
        <v>129</v>
      </c>
      <c r="C18" s="7" t="s">
        <v>130</v>
      </c>
      <c r="D18" s="7" t="s">
        <v>131</v>
      </c>
      <c r="E18" s="7" t="s">
        <v>459</v>
      </c>
      <c r="F18" s="7" t="s">
        <v>132</v>
      </c>
      <c r="G18" s="18" t="s">
        <v>119</v>
      </c>
      <c r="H18" s="18" t="s">
        <v>134</v>
      </c>
      <c r="I18" s="25" t="s">
        <v>28</v>
      </c>
      <c r="J18" s="8"/>
      <c r="K18" s="8" t="str">
        <f>"230,0"</f>
        <v>230,0</v>
      </c>
      <c r="L18" s="8" t="str">
        <f>"147,7520"</f>
        <v>147,7520</v>
      </c>
      <c r="M18" s="7"/>
    </row>
    <row r="19" spans="1:13">
      <c r="B19" s="5" t="s">
        <v>84</v>
      </c>
    </row>
    <row r="20" spans="1:13" ht="16">
      <c r="A20" s="50" t="s">
        <v>43</v>
      </c>
      <c r="B20" s="50"/>
      <c r="C20" s="51"/>
      <c r="D20" s="51"/>
      <c r="E20" s="51"/>
      <c r="F20" s="51"/>
      <c r="G20" s="51"/>
      <c r="H20" s="51"/>
      <c r="I20" s="51"/>
      <c r="J20" s="51"/>
    </row>
    <row r="21" spans="1:13">
      <c r="A21" s="10" t="s">
        <v>83</v>
      </c>
      <c r="B21" s="9" t="s">
        <v>302</v>
      </c>
      <c r="C21" s="9" t="s">
        <v>303</v>
      </c>
      <c r="D21" s="9" t="s">
        <v>304</v>
      </c>
      <c r="E21" s="9" t="s">
        <v>459</v>
      </c>
      <c r="F21" s="9" t="s">
        <v>132</v>
      </c>
      <c r="G21" s="19" t="s">
        <v>119</v>
      </c>
      <c r="H21" s="19" t="s">
        <v>27</v>
      </c>
      <c r="I21" s="20" t="s">
        <v>305</v>
      </c>
      <c r="J21" s="10"/>
      <c r="K21" s="10" t="str">
        <f>"220,0"</f>
        <v>220,0</v>
      </c>
      <c r="L21" s="10" t="str">
        <f>"135,4760"</f>
        <v>135,4760</v>
      </c>
      <c r="M21" s="9"/>
    </row>
    <row r="22" spans="1:13">
      <c r="A22" s="12" t="s">
        <v>83</v>
      </c>
      <c r="B22" s="11" t="s">
        <v>302</v>
      </c>
      <c r="C22" s="11" t="s">
        <v>409</v>
      </c>
      <c r="D22" s="11" t="s">
        <v>304</v>
      </c>
      <c r="E22" s="11" t="s">
        <v>461</v>
      </c>
      <c r="F22" s="11" t="s">
        <v>132</v>
      </c>
      <c r="G22" s="21" t="s">
        <v>119</v>
      </c>
      <c r="H22" s="21" t="s">
        <v>27</v>
      </c>
      <c r="I22" s="22" t="s">
        <v>305</v>
      </c>
      <c r="J22" s="12"/>
      <c r="K22" s="12" t="str">
        <f>"220,0"</f>
        <v>220,0</v>
      </c>
      <c r="L22" s="12" t="str">
        <f>"141,4369"</f>
        <v>141,4369</v>
      </c>
      <c r="M22" s="11"/>
    </row>
    <row r="23" spans="1:13">
      <c r="B23" s="5" t="s">
        <v>84</v>
      </c>
    </row>
    <row r="24" spans="1:13" ht="16">
      <c r="A24" s="50" t="s">
        <v>63</v>
      </c>
      <c r="B24" s="50"/>
      <c r="C24" s="51"/>
      <c r="D24" s="51"/>
      <c r="E24" s="51"/>
      <c r="F24" s="51"/>
      <c r="G24" s="51"/>
      <c r="H24" s="51"/>
      <c r="I24" s="51"/>
      <c r="J24" s="51"/>
    </row>
    <row r="25" spans="1:13">
      <c r="A25" s="8" t="s">
        <v>83</v>
      </c>
      <c r="B25" s="7" t="s">
        <v>306</v>
      </c>
      <c r="C25" s="7" t="s">
        <v>307</v>
      </c>
      <c r="D25" s="7" t="s">
        <v>151</v>
      </c>
      <c r="E25" s="7" t="s">
        <v>459</v>
      </c>
      <c r="F25" s="7" t="s">
        <v>25</v>
      </c>
      <c r="G25" s="18" t="s">
        <v>28</v>
      </c>
      <c r="H25" s="18" t="s">
        <v>308</v>
      </c>
      <c r="I25" s="25" t="s">
        <v>32</v>
      </c>
      <c r="J25" s="8"/>
      <c r="K25" s="8" t="str">
        <f>"250,0"</f>
        <v>250,0</v>
      </c>
      <c r="L25" s="8" t="str">
        <f>"147,6750"</f>
        <v>147,6750</v>
      </c>
      <c r="M25" s="7"/>
    </row>
    <row r="26" spans="1:13">
      <c r="B26" s="5" t="s">
        <v>84</v>
      </c>
    </row>
  </sheetData>
  <mergeCells count="18">
    <mergeCell ref="A24:J24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5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30.5" style="5" bestFit="1" customWidth="1"/>
    <col min="14" max="16384" width="9.1640625" style="3"/>
  </cols>
  <sheetData>
    <row r="1" spans="1:13" s="2" customFormat="1" ht="29" customHeight="1">
      <c r="A1" s="39" t="s">
        <v>384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10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43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44</v>
      </c>
      <c r="C6" s="7" t="s">
        <v>45</v>
      </c>
      <c r="D6" s="7" t="s">
        <v>46</v>
      </c>
      <c r="E6" s="7" t="s">
        <v>459</v>
      </c>
      <c r="F6" s="7" t="s">
        <v>435</v>
      </c>
      <c r="G6" s="18" t="s">
        <v>50</v>
      </c>
      <c r="H6" s="18" t="s">
        <v>51</v>
      </c>
      <c r="I6" s="8"/>
      <c r="J6" s="8"/>
      <c r="K6" s="8" t="str">
        <f>"272,5"</f>
        <v>272,5</v>
      </c>
      <c r="L6" s="8" t="str">
        <f>"169,6585"</f>
        <v>169,6585</v>
      </c>
      <c r="M6" s="7" t="s">
        <v>436</v>
      </c>
    </row>
    <row r="7" spans="1:13">
      <c r="B7" s="5" t="s">
        <v>84</v>
      </c>
    </row>
    <row r="8" spans="1:13" ht="16">
      <c r="A8" s="50" t="s">
        <v>63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0" t="s">
        <v>83</v>
      </c>
      <c r="B9" s="9" t="s">
        <v>156</v>
      </c>
      <c r="C9" s="9" t="s">
        <v>157</v>
      </c>
      <c r="D9" s="9" t="s">
        <v>283</v>
      </c>
      <c r="E9" s="9" t="s">
        <v>459</v>
      </c>
      <c r="F9" s="9" t="s">
        <v>55</v>
      </c>
      <c r="G9" s="19" t="s">
        <v>33</v>
      </c>
      <c r="H9" s="19" t="s">
        <v>284</v>
      </c>
      <c r="I9" s="20" t="s">
        <v>153</v>
      </c>
      <c r="J9" s="10"/>
      <c r="K9" s="10" t="str">
        <f>"290,0"</f>
        <v>290,0</v>
      </c>
      <c r="L9" s="10" t="str">
        <f>"171,9700"</f>
        <v>171,9700</v>
      </c>
      <c r="M9" s="9"/>
    </row>
    <row r="10" spans="1:13">
      <c r="A10" s="24" t="s">
        <v>83</v>
      </c>
      <c r="B10" s="23" t="s">
        <v>285</v>
      </c>
      <c r="C10" s="23" t="s">
        <v>410</v>
      </c>
      <c r="D10" s="23" t="s">
        <v>286</v>
      </c>
      <c r="E10" s="23" t="s">
        <v>464</v>
      </c>
      <c r="F10" s="23" t="s">
        <v>25</v>
      </c>
      <c r="G10" s="26" t="s">
        <v>41</v>
      </c>
      <c r="H10" s="26" t="s">
        <v>58</v>
      </c>
      <c r="I10" s="26" t="s">
        <v>61</v>
      </c>
      <c r="J10" s="24"/>
      <c r="K10" s="24" t="str">
        <f>"217,5"</f>
        <v>217,5</v>
      </c>
      <c r="L10" s="24" t="str">
        <f>"163,0163"</f>
        <v>163,0163</v>
      </c>
      <c r="M10" s="23" t="s">
        <v>437</v>
      </c>
    </row>
    <row r="11" spans="1:13">
      <c r="A11" s="12" t="s">
        <v>83</v>
      </c>
      <c r="B11" s="11" t="s">
        <v>69</v>
      </c>
      <c r="C11" s="11" t="s">
        <v>411</v>
      </c>
      <c r="D11" s="11" t="s">
        <v>70</v>
      </c>
      <c r="E11" s="11" t="s">
        <v>465</v>
      </c>
      <c r="F11" s="11" t="s">
        <v>25</v>
      </c>
      <c r="G11" s="21" t="s">
        <v>31</v>
      </c>
      <c r="H11" s="21" t="s">
        <v>118</v>
      </c>
      <c r="I11" s="21" t="s">
        <v>37</v>
      </c>
      <c r="J11" s="12"/>
      <c r="K11" s="12" t="str">
        <f>"175,0"</f>
        <v>175,0</v>
      </c>
      <c r="L11" s="12" t="str">
        <f>"183,0350"</f>
        <v>183,0350</v>
      </c>
      <c r="M11" s="11"/>
    </row>
    <row r="12" spans="1:13">
      <c r="B12" s="5" t="s">
        <v>84</v>
      </c>
    </row>
    <row r="13" spans="1:13" ht="16">
      <c r="A13" s="50" t="s">
        <v>198</v>
      </c>
      <c r="B13" s="50"/>
      <c r="C13" s="51"/>
      <c r="D13" s="51"/>
      <c r="E13" s="51"/>
      <c r="F13" s="51"/>
      <c r="G13" s="51"/>
      <c r="H13" s="51"/>
      <c r="I13" s="51"/>
      <c r="J13" s="51"/>
    </row>
    <row r="14" spans="1:13">
      <c r="A14" s="8" t="s">
        <v>83</v>
      </c>
      <c r="B14" s="7" t="s">
        <v>287</v>
      </c>
      <c r="C14" s="7" t="s">
        <v>288</v>
      </c>
      <c r="D14" s="7" t="s">
        <v>289</v>
      </c>
      <c r="E14" s="7" t="s">
        <v>459</v>
      </c>
      <c r="F14" s="7" t="s">
        <v>290</v>
      </c>
      <c r="G14" s="18" t="s">
        <v>291</v>
      </c>
      <c r="H14" s="18" t="s">
        <v>292</v>
      </c>
      <c r="I14" s="25" t="s">
        <v>293</v>
      </c>
      <c r="J14" s="8"/>
      <c r="K14" s="8" t="str">
        <f>"350,0"</f>
        <v>350,0</v>
      </c>
      <c r="L14" s="8" t="str">
        <f>"193,0600"</f>
        <v>193,0600</v>
      </c>
      <c r="M14" s="7"/>
    </row>
    <row r="15" spans="1:13">
      <c r="B15" s="5" t="s">
        <v>84</v>
      </c>
    </row>
  </sheetData>
  <mergeCells count="14">
    <mergeCell ref="A8:J8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22.83203125" style="5" customWidth="1"/>
    <col min="18" max="16384" width="9.1640625" style="3"/>
  </cols>
  <sheetData>
    <row r="1" spans="1:17" s="2" customFormat="1" ht="29" customHeight="1">
      <c r="A1" s="39" t="s">
        <v>374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460</v>
      </c>
      <c r="H3" s="33"/>
      <c r="I3" s="33"/>
      <c r="J3" s="33"/>
      <c r="K3" s="33" t="s">
        <v>356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215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83</v>
      </c>
      <c r="B6" s="7" t="s">
        <v>347</v>
      </c>
      <c r="C6" s="7" t="s">
        <v>400</v>
      </c>
      <c r="D6" s="7" t="s">
        <v>348</v>
      </c>
      <c r="E6" s="7" t="s">
        <v>463</v>
      </c>
      <c r="F6" s="7" t="s">
        <v>25</v>
      </c>
      <c r="G6" s="18" t="s">
        <v>95</v>
      </c>
      <c r="H6" s="25" t="s">
        <v>220</v>
      </c>
      <c r="I6" s="25" t="s">
        <v>220</v>
      </c>
      <c r="J6" s="8"/>
      <c r="K6" s="18" t="s">
        <v>349</v>
      </c>
      <c r="L6" s="18" t="s">
        <v>350</v>
      </c>
      <c r="M6" s="18" t="s">
        <v>351</v>
      </c>
      <c r="N6" s="8"/>
      <c r="O6" s="8" t="str">
        <f>"77,5"</f>
        <v>77,5</v>
      </c>
      <c r="P6" s="8" t="str">
        <f>"72,7493"</f>
        <v>72,7493</v>
      </c>
      <c r="Q6" s="7" t="s">
        <v>352</v>
      </c>
    </row>
    <row r="7" spans="1:17">
      <c r="B7" s="5" t="s">
        <v>84</v>
      </c>
    </row>
    <row r="8" spans="1:17" ht="16">
      <c r="A8" s="50" t="s">
        <v>113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8" t="s">
        <v>83</v>
      </c>
      <c r="B9" s="7" t="s">
        <v>321</v>
      </c>
      <c r="C9" s="7" t="s">
        <v>322</v>
      </c>
      <c r="D9" s="7" t="s">
        <v>323</v>
      </c>
      <c r="E9" s="7" t="s">
        <v>459</v>
      </c>
      <c r="F9" s="7" t="s">
        <v>25</v>
      </c>
      <c r="G9" s="18" t="s">
        <v>324</v>
      </c>
      <c r="H9" s="25" t="s">
        <v>298</v>
      </c>
      <c r="I9" s="18" t="s">
        <v>298</v>
      </c>
      <c r="J9" s="8"/>
      <c r="K9" s="18" t="s">
        <v>220</v>
      </c>
      <c r="L9" s="18" t="s">
        <v>213</v>
      </c>
      <c r="M9" s="18" t="s">
        <v>177</v>
      </c>
      <c r="N9" s="8"/>
      <c r="O9" s="8" t="str">
        <f>"127,5"</f>
        <v>127,5</v>
      </c>
      <c r="P9" s="8" t="str">
        <f>"91,1434"</f>
        <v>91,1434</v>
      </c>
      <c r="Q9" s="7"/>
    </row>
    <row r="10" spans="1:17">
      <c r="B10" s="5" t="s">
        <v>84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3.83203125" style="5" customWidth="1"/>
    <col min="7" max="14" width="5.33203125" style="6" customWidth="1"/>
    <col min="15" max="15" width="7.83203125" style="6" bestFit="1" customWidth="1"/>
    <col min="16" max="16" width="8.5" style="6" bestFit="1" customWidth="1"/>
    <col min="17" max="17" width="19.33203125" style="5" customWidth="1"/>
    <col min="18" max="16384" width="9.1640625" style="3"/>
  </cols>
  <sheetData>
    <row r="1" spans="1:17" s="2" customFormat="1" ht="29" customHeight="1">
      <c r="A1" s="39" t="s">
        <v>375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460</v>
      </c>
      <c r="H3" s="33"/>
      <c r="I3" s="33"/>
      <c r="J3" s="33"/>
      <c r="K3" s="33" t="s">
        <v>356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97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83</v>
      </c>
      <c r="B6" s="7" t="s">
        <v>341</v>
      </c>
      <c r="C6" s="7" t="s">
        <v>342</v>
      </c>
      <c r="D6" s="7" t="s">
        <v>343</v>
      </c>
      <c r="E6" s="7" t="s">
        <v>459</v>
      </c>
      <c r="F6" s="7" t="s">
        <v>25</v>
      </c>
      <c r="G6" s="25" t="s">
        <v>176</v>
      </c>
      <c r="H6" s="18" t="s">
        <v>213</v>
      </c>
      <c r="I6" s="18" t="s">
        <v>177</v>
      </c>
      <c r="J6" s="8"/>
      <c r="K6" s="18" t="s">
        <v>96</v>
      </c>
      <c r="L6" s="18" t="s">
        <v>220</v>
      </c>
      <c r="M6" s="18" t="s">
        <v>176</v>
      </c>
      <c r="N6" s="8"/>
      <c r="O6" s="8" t="str">
        <f>"105,0"</f>
        <v>105,0</v>
      </c>
      <c r="P6" s="8" t="str">
        <f>"86,8875"</f>
        <v>86,8875</v>
      </c>
      <c r="Q6" s="7" t="s">
        <v>424</v>
      </c>
    </row>
    <row r="7" spans="1:17">
      <c r="B7" s="5" t="s">
        <v>84</v>
      </c>
    </row>
    <row r="8" spans="1:17" ht="16">
      <c r="A8" s="50" t="s">
        <v>63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8" t="s">
        <v>83</v>
      </c>
      <c r="B9" s="7" t="s">
        <v>344</v>
      </c>
      <c r="C9" s="7" t="s">
        <v>345</v>
      </c>
      <c r="D9" s="7" t="s">
        <v>346</v>
      </c>
      <c r="E9" s="7" t="s">
        <v>459</v>
      </c>
      <c r="F9" s="7" t="s">
        <v>425</v>
      </c>
      <c r="G9" s="18" t="s">
        <v>15</v>
      </c>
      <c r="H9" s="18" t="s">
        <v>16</v>
      </c>
      <c r="I9" s="25" t="s">
        <v>48</v>
      </c>
      <c r="J9" s="8"/>
      <c r="K9" s="18" t="s">
        <v>178</v>
      </c>
      <c r="L9" s="18" t="s">
        <v>297</v>
      </c>
      <c r="M9" s="18" t="s">
        <v>92</v>
      </c>
      <c r="N9" s="8"/>
      <c r="O9" s="8" t="str">
        <f>"210,0"</f>
        <v>210,0</v>
      </c>
      <c r="P9" s="8" t="str">
        <f>"119,2695"</f>
        <v>119,2695</v>
      </c>
      <c r="Q9" s="7"/>
    </row>
    <row r="10" spans="1:17">
      <c r="B10" s="5" t="s">
        <v>84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9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7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39" t="s">
        <v>378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460</v>
      </c>
      <c r="H3" s="33"/>
      <c r="I3" s="33"/>
      <c r="J3" s="33"/>
      <c r="K3" s="54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5"/>
      <c r="L4" s="34"/>
      <c r="M4" s="36"/>
    </row>
    <row r="5" spans="1:13" ht="16">
      <c r="A5" s="37" t="s">
        <v>113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321</v>
      </c>
      <c r="C6" s="7" t="s">
        <v>322</v>
      </c>
      <c r="D6" s="7" t="s">
        <v>323</v>
      </c>
      <c r="E6" s="7" t="s">
        <v>459</v>
      </c>
      <c r="F6" s="7" t="s">
        <v>25</v>
      </c>
      <c r="G6" s="18" t="s">
        <v>324</v>
      </c>
      <c r="H6" s="25" t="s">
        <v>298</v>
      </c>
      <c r="I6" s="18" t="s">
        <v>298</v>
      </c>
      <c r="J6" s="8"/>
      <c r="K6" s="31" t="str">
        <f>"72,5"</f>
        <v>72,5</v>
      </c>
      <c r="L6" s="8" t="str">
        <f>"51,8266"</f>
        <v>51,8266</v>
      </c>
      <c r="M6" s="7"/>
    </row>
    <row r="7" spans="1:13">
      <c r="B7" s="5" t="s">
        <v>84</v>
      </c>
    </row>
    <row r="8" spans="1:13" ht="16">
      <c r="A8" s="50" t="s">
        <v>11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0" t="s">
        <v>86</v>
      </c>
      <c r="B9" s="9" t="s">
        <v>325</v>
      </c>
      <c r="C9" s="9" t="s">
        <v>403</v>
      </c>
      <c r="D9" s="9" t="s">
        <v>326</v>
      </c>
      <c r="E9" s="9" t="s">
        <v>462</v>
      </c>
      <c r="F9" s="9" t="s">
        <v>25</v>
      </c>
      <c r="G9" s="20" t="s">
        <v>327</v>
      </c>
      <c r="H9" s="20" t="s">
        <v>327</v>
      </c>
      <c r="I9" s="20" t="s">
        <v>327</v>
      </c>
      <c r="J9" s="10"/>
      <c r="K9" s="29">
        <v>0</v>
      </c>
      <c r="L9" s="10" t="str">
        <f>"0,0000"</f>
        <v>0,0000</v>
      </c>
      <c r="M9" s="9" t="s">
        <v>428</v>
      </c>
    </row>
    <row r="10" spans="1:13">
      <c r="A10" s="12" t="s">
        <v>83</v>
      </c>
      <c r="B10" s="11" t="s">
        <v>328</v>
      </c>
      <c r="C10" s="11" t="s">
        <v>329</v>
      </c>
      <c r="D10" s="11" t="s">
        <v>330</v>
      </c>
      <c r="E10" s="11" t="s">
        <v>459</v>
      </c>
      <c r="F10" s="11" t="s">
        <v>397</v>
      </c>
      <c r="G10" s="21" t="s">
        <v>17</v>
      </c>
      <c r="H10" s="21" t="s">
        <v>18</v>
      </c>
      <c r="I10" s="22" t="s">
        <v>19</v>
      </c>
      <c r="J10" s="12"/>
      <c r="K10" s="30" t="str">
        <f>"97,5"</f>
        <v>97,5</v>
      </c>
      <c r="L10" s="12" t="str">
        <f>"63,8138"</f>
        <v>63,8138</v>
      </c>
      <c r="M10" s="11"/>
    </row>
    <row r="11" spans="1:13">
      <c r="B11" s="5" t="s">
        <v>84</v>
      </c>
    </row>
    <row r="12" spans="1:13" ht="16">
      <c r="A12" s="50" t="s">
        <v>63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8" t="s">
        <v>83</v>
      </c>
      <c r="B13" s="7" t="s">
        <v>261</v>
      </c>
      <c r="C13" s="7" t="s">
        <v>262</v>
      </c>
      <c r="D13" s="7" t="s">
        <v>263</v>
      </c>
      <c r="E13" s="7" t="s">
        <v>459</v>
      </c>
      <c r="F13" s="7" t="s">
        <v>430</v>
      </c>
      <c r="G13" s="25" t="s">
        <v>19</v>
      </c>
      <c r="H13" s="18" t="s">
        <v>19</v>
      </c>
      <c r="I13" s="18" t="s">
        <v>14</v>
      </c>
      <c r="J13" s="8"/>
      <c r="K13" s="31" t="str">
        <f>"110,0"</f>
        <v>110,0</v>
      </c>
      <c r="L13" s="8" t="str">
        <f>"61,8915"</f>
        <v>61,8915</v>
      </c>
      <c r="M13" s="7"/>
    </row>
    <row r="14" spans="1:13">
      <c r="B14" s="5" t="s">
        <v>84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39" t="s">
        <v>376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460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335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336</v>
      </c>
      <c r="C6" s="7" t="s">
        <v>401</v>
      </c>
      <c r="D6" s="7" t="s">
        <v>337</v>
      </c>
      <c r="E6" s="7" t="s">
        <v>462</v>
      </c>
      <c r="F6" s="7" t="s">
        <v>429</v>
      </c>
      <c r="G6" s="25" t="s">
        <v>95</v>
      </c>
      <c r="H6" s="18" t="s">
        <v>95</v>
      </c>
      <c r="I6" s="8"/>
      <c r="J6" s="8"/>
      <c r="K6" s="8" t="str">
        <f>"40,0"</f>
        <v>40,0</v>
      </c>
      <c r="L6" s="8" t="str">
        <f>"33,4220"</f>
        <v>33,4220</v>
      </c>
      <c r="M6" s="7" t="s">
        <v>426</v>
      </c>
    </row>
    <row r="7" spans="1:13">
      <c r="B7" s="5" t="s">
        <v>84</v>
      </c>
    </row>
    <row r="8" spans="1:13" ht="16">
      <c r="A8" s="50" t="s">
        <v>113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0" t="s">
        <v>83</v>
      </c>
      <c r="B9" s="9" t="s">
        <v>338</v>
      </c>
      <c r="C9" s="9" t="s">
        <v>402</v>
      </c>
      <c r="D9" s="9" t="s">
        <v>125</v>
      </c>
      <c r="E9" s="9" t="s">
        <v>463</v>
      </c>
      <c r="F9" s="9" t="s">
        <v>25</v>
      </c>
      <c r="G9" s="19" t="s">
        <v>177</v>
      </c>
      <c r="H9" s="19" t="s">
        <v>178</v>
      </c>
      <c r="I9" s="20" t="s">
        <v>103</v>
      </c>
      <c r="J9" s="10"/>
      <c r="K9" s="10" t="str">
        <f>"60,0"</f>
        <v>60,0</v>
      </c>
      <c r="L9" s="10" t="str">
        <f>"42,4260"</f>
        <v>42,4260</v>
      </c>
      <c r="M9" s="9" t="s">
        <v>427</v>
      </c>
    </row>
    <row r="10" spans="1:13">
      <c r="A10" s="12" t="s">
        <v>83</v>
      </c>
      <c r="B10" s="11" t="s">
        <v>321</v>
      </c>
      <c r="C10" s="11" t="s">
        <v>322</v>
      </c>
      <c r="D10" s="11" t="s">
        <v>323</v>
      </c>
      <c r="E10" s="11" t="s">
        <v>459</v>
      </c>
      <c r="F10" s="11" t="s">
        <v>25</v>
      </c>
      <c r="G10" s="21" t="s">
        <v>220</v>
      </c>
      <c r="H10" s="21" t="s">
        <v>213</v>
      </c>
      <c r="I10" s="21" t="s">
        <v>177</v>
      </c>
      <c r="J10" s="12"/>
      <c r="K10" s="12" t="str">
        <f>"55,0"</f>
        <v>55,0</v>
      </c>
      <c r="L10" s="12" t="str">
        <f>"39,3168"</f>
        <v>39,3168</v>
      </c>
      <c r="M10" s="11"/>
    </row>
    <row r="11" spans="1:13">
      <c r="B11" s="5" t="s">
        <v>84</v>
      </c>
    </row>
    <row r="12" spans="1:13" ht="16">
      <c r="A12" s="50" t="s">
        <v>11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10" t="s">
        <v>86</v>
      </c>
      <c r="B13" s="9" t="s">
        <v>325</v>
      </c>
      <c r="C13" s="9" t="s">
        <v>403</v>
      </c>
      <c r="D13" s="9" t="s">
        <v>326</v>
      </c>
      <c r="E13" s="9" t="s">
        <v>462</v>
      </c>
      <c r="F13" s="9" t="s">
        <v>25</v>
      </c>
      <c r="G13" s="20" t="s">
        <v>176</v>
      </c>
      <c r="H13" s="20" t="s">
        <v>177</v>
      </c>
      <c r="I13" s="20" t="s">
        <v>177</v>
      </c>
      <c r="J13" s="10"/>
      <c r="K13" s="10" t="str">
        <f>"0.00"</f>
        <v>0.00</v>
      </c>
      <c r="L13" s="10" t="str">
        <f>"0,0000"</f>
        <v>0,0000</v>
      </c>
      <c r="M13" s="9" t="s">
        <v>428</v>
      </c>
    </row>
    <row r="14" spans="1:13">
      <c r="A14" s="24" t="s">
        <v>83</v>
      </c>
      <c r="B14" s="23" t="s">
        <v>339</v>
      </c>
      <c r="C14" s="23" t="s">
        <v>404</v>
      </c>
      <c r="D14" s="23" t="s">
        <v>340</v>
      </c>
      <c r="E14" s="23" t="s">
        <v>463</v>
      </c>
      <c r="F14" s="23" t="s">
        <v>25</v>
      </c>
      <c r="G14" s="26" t="s">
        <v>177</v>
      </c>
      <c r="H14" s="27" t="s">
        <v>178</v>
      </c>
      <c r="I14" s="26" t="s">
        <v>178</v>
      </c>
      <c r="J14" s="24"/>
      <c r="K14" s="24" t="str">
        <f>"60,0"</f>
        <v>60,0</v>
      </c>
      <c r="L14" s="24" t="str">
        <f>"39,0480"</f>
        <v>39,0480</v>
      </c>
      <c r="M14" s="23"/>
    </row>
    <row r="15" spans="1:13">
      <c r="A15" s="24" t="s">
        <v>83</v>
      </c>
      <c r="B15" s="23" t="s">
        <v>328</v>
      </c>
      <c r="C15" s="23" t="s">
        <v>329</v>
      </c>
      <c r="D15" s="23" t="s">
        <v>330</v>
      </c>
      <c r="E15" s="23" t="s">
        <v>459</v>
      </c>
      <c r="F15" s="23" t="s">
        <v>397</v>
      </c>
      <c r="G15" s="26" t="s">
        <v>327</v>
      </c>
      <c r="H15" s="26" t="s">
        <v>324</v>
      </c>
      <c r="I15" s="26" t="s">
        <v>297</v>
      </c>
      <c r="J15" s="24"/>
      <c r="K15" s="24" t="str">
        <f>"70,0"</f>
        <v>70,0</v>
      </c>
      <c r="L15" s="24" t="str">
        <f>"45,8150"</f>
        <v>45,8150</v>
      </c>
      <c r="M15" s="23"/>
    </row>
    <row r="16" spans="1:13">
      <c r="A16" s="12" t="s">
        <v>85</v>
      </c>
      <c r="B16" s="11" t="s">
        <v>179</v>
      </c>
      <c r="C16" s="11" t="s">
        <v>180</v>
      </c>
      <c r="D16" s="11" t="s">
        <v>181</v>
      </c>
      <c r="E16" s="11" t="s">
        <v>459</v>
      </c>
      <c r="F16" s="11" t="s">
        <v>25</v>
      </c>
      <c r="G16" s="21" t="s">
        <v>95</v>
      </c>
      <c r="H16" s="21" t="s">
        <v>177</v>
      </c>
      <c r="I16" s="12"/>
      <c r="J16" s="12"/>
      <c r="K16" s="12" t="str">
        <f>"55,0"</f>
        <v>55,0</v>
      </c>
      <c r="L16" s="12" t="str">
        <f>"36,2422"</f>
        <v>36,2422</v>
      </c>
      <c r="M16" s="11"/>
    </row>
    <row r="17" spans="1:13">
      <c r="B17" s="5" t="s">
        <v>84</v>
      </c>
    </row>
    <row r="18" spans="1:13" ht="16">
      <c r="A18" s="50" t="s">
        <v>21</v>
      </c>
      <c r="B18" s="50"/>
      <c r="C18" s="51"/>
      <c r="D18" s="51"/>
      <c r="E18" s="51"/>
      <c r="F18" s="51"/>
      <c r="G18" s="51"/>
      <c r="H18" s="51"/>
      <c r="I18" s="51"/>
      <c r="J18" s="51"/>
    </row>
    <row r="19" spans="1:13">
      <c r="A19" s="8" t="s">
        <v>83</v>
      </c>
      <c r="B19" s="7" t="s">
        <v>239</v>
      </c>
      <c r="C19" s="7" t="s">
        <v>240</v>
      </c>
      <c r="D19" s="7" t="s">
        <v>241</v>
      </c>
      <c r="E19" s="7" t="s">
        <v>459</v>
      </c>
      <c r="F19" s="7" t="s">
        <v>242</v>
      </c>
      <c r="G19" s="18" t="s">
        <v>177</v>
      </c>
      <c r="H19" s="18" t="s">
        <v>327</v>
      </c>
      <c r="I19" s="18" t="s">
        <v>223</v>
      </c>
      <c r="J19" s="8"/>
      <c r="K19" s="8" t="str">
        <f>"75,0"</f>
        <v>75,0</v>
      </c>
      <c r="L19" s="8" t="str">
        <f>"47,5500"</f>
        <v>47,5500</v>
      </c>
      <c r="M19" s="7"/>
    </row>
    <row r="20" spans="1:13">
      <c r="B20" s="5" t="s">
        <v>84</v>
      </c>
    </row>
  </sheetData>
  <mergeCells count="15">
    <mergeCell ref="A8:J8"/>
    <mergeCell ref="A12:J12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customWidth="1"/>
    <col min="7" max="10" width="5.5" style="6" customWidth="1"/>
    <col min="11" max="11" width="10.5" style="6" bestFit="1" customWidth="1"/>
    <col min="12" max="12" width="11.1640625" style="6" customWidth="1"/>
    <col min="13" max="13" width="21" style="5" customWidth="1"/>
    <col min="14" max="16384" width="9.1640625" style="3"/>
  </cols>
  <sheetData>
    <row r="1" spans="1:13" s="2" customFormat="1" ht="29" customHeight="1">
      <c r="A1" s="39" t="s">
        <v>377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5</v>
      </c>
      <c r="D3" s="49" t="s">
        <v>7</v>
      </c>
      <c r="E3" s="33" t="s">
        <v>311</v>
      </c>
      <c r="F3" s="33" t="s">
        <v>6</v>
      </c>
      <c r="G3" s="33" t="s">
        <v>460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11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0" t="s">
        <v>83</v>
      </c>
      <c r="B6" s="9" t="s">
        <v>331</v>
      </c>
      <c r="C6" s="9" t="s">
        <v>332</v>
      </c>
      <c r="D6" s="9" t="s">
        <v>333</v>
      </c>
      <c r="E6" s="9" t="s">
        <v>459</v>
      </c>
      <c r="F6" s="9" t="s">
        <v>395</v>
      </c>
      <c r="G6" s="19" t="s">
        <v>324</v>
      </c>
      <c r="H6" s="19" t="s">
        <v>297</v>
      </c>
      <c r="I6" s="19" t="s">
        <v>298</v>
      </c>
      <c r="J6" s="19" t="s">
        <v>334</v>
      </c>
      <c r="K6" s="10" t="str">
        <f>"72,5"</f>
        <v>72,5</v>
      </c>
      <c r="L6" s="10" t="str">
        <f>"48,6185"</f>
        <v>48,6185</v>
      </c>
      <c r="M6" s="9"/>
    </row>
    <row r="7" spans="1:13">
      <c r="A7" s="12" t="s">
        <v>85</v>
      </c>
      <c r="B7" s="11" t="s">
        <v>179</v>
      </c>
      <c r="C7" s="11" t="s">
        <v>180</v>
      </c>
      <c r="D7" s="11" t="s">
        <v>181</v>
      </c>
      <c r="E7" s="11" t="s">
        <v>459</v>
      </c>
      <c r="F7" s="11" t="s">
        <v>25</v>
      </c>
      <c r="G7" s="21" t="s">
        <v>95</v>
      </c>
      <c r="H7" s="21" t="s">
        <v>177</v>
      </c>
      <c r="I7" s="12"/>
      <c r="J7" s="12"/>
      <c r="K7" s="12" t="str">
        <f>"55,0"</f>
        <v>55,0</v>
      </c>
      <c r="L7" s="12" t="str">
        <f>"36,2422"</f>
        <v>36,2422</v>
      </c>
      <c r="M7" s="11"/>
    </row>
    <row r="8" spans="1:13">
      <c r="B8" s="5" t="s">
        <v>84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5">
    <pageSetUpPr fitToPage="1"/>
  </sheetPr>
  <dimension ref="A1:U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5.83203125" style="5" customWidth="1"/>
    <col min="22" max="16384" width="9.1640625" style="3"/>
  </cols>
  <sheetData>
    <row r="1" spans="1:21" s="2" customFormat="1" ht="29" customHeight="1">
      <c r="A1" s="39" t="s">
        <v>391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33" t="s">
        <v>10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11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83</v>
      </c>
      <c r="B6" s="7" t="s">
        <v>12</v>
      </c>
      <c r="C6" s="7" t="s">
        <v>420</v>
      </c>
      <c r="D6" s="7" t="s">
        <v>13</v>
      </c>
      <c r="E6" s="7" t="s">
        <v>467</v>
      </c>
      <c r="F6" s="7" t="s">
        <v>202</v>
      </c>
      <c r="G6" s="18" t="s">
        <v>14</v>
      </c>
      <c r="H6" s="18" t="s">
        <v>15</v>
      </c>
      <c r="I6" s="18" t="s">
        <v>16</v>
      </c>
      <c r="J6" s="8"/>
      <c r="K6" s="18" t="s">
        <v>17</v>
      </c>
      <c r="L6" s="18" t="s">
        <v>18</v>
      </c>
      <c r="M6" s="18" t="s">
        <v>19</v>
      </c>
      <c r="N6" s="8"/>
      <c r="O6" s="18" t="s">
        <v>14</v>
      </c>
      <c r="P6" s="18" t="s">
        <v>20</v>
      </c>
      <c r="Q6" s="18" t="s">
        <v>16</v>
      </c>
      <c r="R6" s="8"/>
      <c r="S6" s="8" t="str">
        <f>"360,0"</f>
        <v>360,0</v>
      </c>
      <c r="T6" s="8" t="str">
        <f>"283,5717"</f>
        <v>283,5717</v>
      </c>
      <c r="U6" s="7"/>
    </row>
    <row r="7" spans="1:21">
      <c r="B7" s="5" t="s">
        <v>84</v>
      </c>
    </row>
    <row r="8" spans="1:21" ht="16">
      <c r="A8" s="50" t="s">
        <v>21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10" t="s">
        <v>83</v>
      </c>
      <c r="B9" s="9" t="s">
        <v>22</v>
      </c>
      <c r="C9" s="9" t="s">
        <v>23</v>
      </c>
      <c r="D9" s="9" t="s">
        <v>24</v>
      </c>
      <c r="E9" s="9" t="s">
        <v>459</v>
      </c>
      <c r="F9" s="9" t="s">
        <v>25</v>
      </c>
      <c r="G9" s="19" t="s">
        <v>26</v>
      </c>
      <c r="H9" s="19" t="s">
        <v>27</v>
      </c>
      <c r="I9" s="20" t="s">
        <v>28</v>
      </c>
      <c r="J9" s="10"/>
      <c r="K9" s="19" t="s">
        <v>29</v>
      </c>
      <c r="L9" s="19" t="s">
        <v>30</v>
      </c>
      <c r="M9" s="20" t="s">
        <v>31</v>
      </c>
      <c r="N9" s="10"/>
      <c r="O9" s="19" t="s">
        <v>28</v>
      </c>
      <c r="P9" s="19" t="s">
        <v>32</v>
      </c>
      <c r="Q9" s="19" t="s">
        <v>33</v>
      </c>
      <c r="R9" s="10"/>
      <c r="S9" s="10" t="str">
        <f>"640,0"</f>
        <v>640,0</v>
      </c>
      <c r="T9" s="10" t="str">
        <f>"414,9120"</f>
        <v>414,9120</v>
      </c>
      <c r="U9" s="9"/>
    </row>
    <row r="10" spans="1:21">
      <c r="A10" s="12" t="s">
        <v>85</v>
      </c>
      <c r="B10" s="11" t="s">
        <v>34</v>
      </c>
      <c r="C10" s="11" t="s">
        <v>35</v>
      </c>
      <c r="D10" s="11" t="s">
        <v>36</v>
      </c>
      <c r="E10" s="11" t="s">
        <v>459</v>
      </c>
      <c r="F10" s="11" t="s">
        <v>452</v>
      </c>
      <c r="G10" s="21" t="s">
        <v>37</v>
      </c>
      <c r="H10" s="21" t="s">
        <v>38</v>
      </c>
      <c r="I10" s="22" t="s">
        <v>26</v>
      </c>
      <c r="J10" s="12"/>
      <c r="K10" s="21" t="s">
        <v>15</v>
      </c>
      <c r="L10" s="21" t="s">
        <v>39</v>
      </c>
      <c r="M10" s="21" t="s">
        <v>40</v>
      </c>
      <c r="N10" s="12"/>
      <c r="O10" s="21" t="s">
        <v>41</v>
      </c>
      <c r="P10" s="21" t="s">
        <v>42</v>
      </c>
      <c r="Q10" s="21" t="s">
        <v>28</v>
      </c>
      <c r="R10" s="12"/>
      <c r="S10" s="12" t="str">
        <f>"562,5"</f>
        <v>562,5</v>
      </c>
      <c r="T10" s="12" t="str">
        <f>"359,1000"</f>
        <v>359,1000</v>
      </c>
      <c r="U10" s="11" t="s">
        <v>436</v>
      </c>
    </row>
    <row r="11" spans="1:21">
      <c r="B11" s="5" t="s">
        <v>84</v>
      </c>
    </row>
    <row r="12" spans="1:21" ht="16">
      <c r="A12" s="50" t="s">
        <v>43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1">
      <c r="A13" s="10" t="s">
        <v>83</v>
      </c>
      <c r="B13" s="9" t="s">
        <v>44</v>
      </c>
      <c r="C13" s="9" t="s">
        <v>45</v>
      </c>
      <c r="D13" s="9" t="s">
        <v>46</v>
      </c>
      <c r="E13" s="9" t="s">
        <v>459</v>
      </c>
      <c r="F13" s="9" t="s">
        <v>435</v>
      </c>
      <c r="G13" s="19" t="s">
        <v>47</v>
      </c>
      <c r="H13" s="19" t="s">
        <v>26</v>
      </c>
      <c r="I13" s="19" t="s">
        <v>41</v>
      </c>
      <c r="J13" s="10"/>
      <c r="K13" s="19" t="s">
        <v>48</v>
      </c>
      <c r="L13" s="19" t="s">
        <v>49</v>
      </c>
      <c r="M13" s="19" t="s">
        <v>30</v>
      </c>
      <c r="N13" s="10"/>
      <c r="O13" s="19" t="s">
        <v>50</v>
      </c>
      <c r="P13" s="19" t="s">
        <v>51</v>
      </c>
      <c r="Q13" s="10"/>
      <c r="R13" s="10"/>
      <c r="S13" s="10" t="str">
        <f>"627,5"</f>
        <v>627,5</v>
      </c>
      <c r="T13" s="10" t="str">
        <f>"390,6815"</f>
        <v>390,6815</v>
      </c>
      <c r="U13" s="9" t="s">
        <v>436</v>
      </c>
    </row>
    <row r="14" spans="1:21">
      <c r="A14" s="12" t="s">
        <v>85</v>
      </c>
      <c r="B14" s="11" t="s">
        <v>52</v>
      </c>
      <c r="C14" s="11" t="s">
        <v>53</v>
      </c>
      <c r="D14" s="11" t="s">
        <v>54</v>
      </c>
      <c r="E14" s="11" t="s">
        <v>459</v>
      </c>
      <c r="F14" s="11" t="s">
        <v>55</v>
      </c>
      <c r="G14" s="21" t="s">
        <v>56</v>
      </c>
      <c r="H14" s="21" t="s">
        <v>57</v>
      </c>
      <c r="I14" s="21" t="s">
        <v>58</v>
      </c>
      <c r="J14" s="12"/>
      <c r="K14" s="21" t="s">
        <v>59</v>
      </c>
      <c r="L14" s="21" t="s">
        <v>31</v>
      </c>
      <c r="M14" s="21" t="s">
        <v>60</v>
      </c>
      <c r="N14" s="12"/>
      <c r="O14" s="21" t="s">
        <v>41</v>
      </c>
      <c r="P14" s="21" t="s">
        <v>61</v>
      </c>
      <c r="Q14" s="21" t="s">
        <v>42</v>
      </c>
      <c r="R14" s="12"/>
      <c r="S14" s="12" t="str">
        <f>"597,5"</f>
        <v>597,5</v>
      </c>
      <c r="T14" s="12" t="str">
        <f>"371,6450"</f>
        <v>371,6450</v>
      </c>
      <c r="U14" s="11" t="s">
        <v>62</v>
      </c>
    </row>
    <row r="15" spans="1:21">
      <c r="B15" s="5" t="s">
        <v>84</v>
      </c>
    </row>
    <row r="16" spans="1:21" ht="16">
      <c r="A16" s="50" t="s">
        <v>63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21">
      <c r="A17" s="10" t="s">
        <v>83</v>
      </c>
      <c r="B17" s="9" t="s">
        <v>64</v>
      </c>
      <c r="C17" s="9" t="s">
        <v>65</v>
      </c>
      <c r="D17" s="9" t="s">
        <v>66</v>
      </c>
      <c r="E17" s="9" t="s">
        <v>459</v>
      </c>
      <c r="F17" s="9" t="s">
        <v>55</v>
      </c>
      <c r="G17" s="19" t="s">
        <v>67</v>
      </c>
      <c r="H17" s="19" t="s">
        <v>68</v>
      </c>
      <c r="I17" s="19" t="s">
        <v>38</v>
      </c>
      <c r="J17" s="10"/>
      <c r="K17" s="19" t="s">
        <v>48</v>
      </c>
      <c r="L17" s="19" t="s">
        <v>30</v>
      </c>
      <c r="M17" s="20" t="s">
        <v>60</v>
      </c>
      <c r="N17" s="10"/>
      <c r="O17" s="19" t="s">
        <v>26</v>
      </c>
      <c r="P17" s="19" t="s">
        <v>58</v>
      </c>
      <c r="Q17" s="19" t="s">
        <v>27</v>
      </c>
      <c r="R17" s="10"/>
      <c r="S17" s="10" t="str">
        <f>"560,0"</f>
        <v>560,0</v>
      </c>
      <c r="T17" s="10" t="str">
        <f>"331,2960"</f>
        <v>331,2960</v>
      </c>
      <c r="U17" s="9"/>
    </row>
    <row r="18" spans="1:21">
      <c r="A18" s="12" t="s">
        <v>86</v>
      </c>
      <c r="B18" s="11" t="s">
        <v>69</v>
      </c>
      <c r="C18" s="11" t="s">
        <v>411</v>
      </c>
      <c r="D18" s="11" t="s">
        <v>70</v>
      </c>
      <c r="E18" s="11" t="s">
        <v>465</v>
      </c>
      <c r="F18" s="11" t="s">
        <v>25</v>
      </c>
      <c r="G18" s="21" t="s">
        <v>71</v>
      </c>
      <c r="H18" s="22" t="s">
        <v>72</v>
      </c>
      <c r="I18" s="21" t="s">
        <v>29</v>
      </c>
      <c r="J18" s="12"/>
      <c r="K18" s="22" t="s">
        <v>73</v>
      </c>
      <c r="L18" s="22" t="s">
        <v>73</v>
      </c>
      <c r="M18" s="22" t="s">
        <v>73</v>
      </c>
      <c r="N18" s="12"/>
      <c r="O18" s="22" t="s">
        <v>31</v>
      </c>
      <c r="P18" s="12"/>
      <c r="Q18" s="12"/>
      <c r="R18" s="12"/>
      <c r="S18" s="12" t="str">
        <f>"0.00"</f>
        <v>0.00</v>
      </c>
      <c r="T18" s="12" t="str">
        <f>"0,0000"</f>
        <v>0,0000</v>
      </c>
      <c r="U18" s="11"/>
    </row>
    <row r="19" spans="1:21">
      <c r="B19" s="5" t="s">
        <v>84</v>
      </c>
    </row>
  </sheetData>
  <mergeCells count="17">
    <mergeCell ref="A5:R5"/>
    <mergeCell ref="A8:R8"/>
    <mergeCell ref="A12:R12"/>
    <mergeCell ref="A16:R16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8" style="5" bestFit="1" customWidth="1"/>
    <col min="14" max="16384" width="9.1640625" style="3"/>
  </cols>
  <sheetData>
    <row r="1" spans="1:13" s="2" customFormat="1" ht="29" customHeight="1">
      <c r="A1" s="39" t="s">
        <v>373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357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235</v>
      </c>
      <c r="C6" s="7" t="s">
        <v>399</v>
      </c>
      <c r="D6" s="7" t="s">
        <v>236</v>
      </c>
      <c r="E6" s="7" t="s">
        <v>461</v>
      </c>
      <c r="F6" s="7" t="s">
        <v>397</v>
      </c>
      <c r="G6" s="18" t="s">
        <v>73</v>
      </c>
      <c r="H6" s="18" t="s">
        <v>14</v>
      </c>
      <c r="I6" s="25" t="s">
        <v>15</v>
      </c>
      <c r="J6" s="8"/>
      <c r="K6" s="8" t="str">
        <f>"110,0"</f>
        <v>110,0</v>
      </c>
      <c r="L6" s="8" t="str">
        <f>"76,4564"</f>
        <v>76,4564</v>
      </c>
      <c r="M6" s="7" t="s">
        <v>398</v>
      </c>
    </row>
    <row r="7" spans="1:13">
      <c r="B7" s="5" t="s">
        <v>84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7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10" width="5.33203125" style="6" customWidth="1"/>
    <col min="11" max="11" width="10.5" style="6" bestFit="1" customWidth="1"/>
    <col min="12" max="12" width="7.5" style="6" bestFit="1" customWidth="1"/>
    <col min="13" max="13" width="19" style="5" customWidth="1"/>
    <col min="14" max="16384" width="9.1640625" style="3"/>
  </cols>
  <sheetData>
    <row r="1" spans="1:15" s="2" customFormat="1" ht="29" customHeight="1">
      <c r="A1" s="39" t="s">
        <v>371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5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5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320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5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5" ht="16">
      <c r="A5" s="37" t="s">
        <v>21</v>
      </c>
      <c r="B5" s="37"/>
      <c r="C5" s="38"/>
      <c r="D5" s="38"/>
      <c r="E5" s="38"/>
      <c r="F5" s="38"/>
      <c r="G5" s="38"/>
      <c r="H5" s="38"/>
      <c r="I5" s="38"/>
      <c r="J5" s="38"/>
    </row>
    <row r="6" spans="1:15" ht="14" thickBot="1">
      <c r="A6" s="8" t="s">
        <v>83</v>
      </c>
      <c r="B6" s="7" t="s">
        <v>353</v>
      </c>
      <c r="C6" s="7" t="s">
        <v>354</v>
      </c>
      <c r="D6" s="7" t="s">
        <v>355</v>
      </c>
      <c r="E6" s="7" t="s">
        <v>459</v>
      </c>
      <c r="F6" s="7" t="s">
        <v>25</v>
      </c>
      <c r="G6" s="18" t="s">
        <v>93</v>
      </c>
      <c r="H6" s="18" t="s">
        <v>94</v>
      </c>
      <c r="I6" s="25" t="s">
        <v>17</v>
      </c>
      <c r="J6" s="8"/>
      <c r="K6" s="8" t="str">
        <f>"90,0"</f>
        <v>90,0</v>
      </c>
      <c r="L6" s="8" t="str">
        <f>"58,7070"</f>
        <v>58,7070</v>
      </c>
      <c r="M6" s="7" t="s">
        <v>394</v>
      </c>
    </row>
    <row r="7" spans="1:15" ht="16">
      <c r="A7" s="37" t="s">
        <v>357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6"/>
      <c r="N7" s="6"/>
      <c r="O7" s="5"/>
    </row>
    <row r="8" spans="1:15">
      <c r="A8" s="8" t="s">
        <v>83</v>
      </c>
      <c r="B8" s="7" t="s">
        <v>359</v>
      </c>
      <c r="C8" s="7" t="s">
        <v>360</v>
      </c>
      <c r="D8" s="7" t="s">
        <v>361</v>
      </c>
      <c r="E8" s="7" t="s">
        <v>459</v>
      </c>
      <c r="F8" s="7" t="s">
        <v>202</v>
      </c>
      <c r="G8" s="18" t="s">
        <v>223</v>
      </c>
      <c r="H8" s="8"/>
      <c r="I8" s="8"/>
      <c r="J8" s="8"/>
      <c r="K8" s="8"/>
      <c r="L8" s="32"/>
      <c r="M8" s="8"/>
      <c r="N8" s="8"/>
      <c r="O8" s="7"/>
    </row>
    <row r="9" spans="1:15">
      <c r="B9" s="5" t="s">
        <v>84</v>
      </c>
    </row>
  </sheetData>
  <mergeCells count="13">
    <mergeCell ref="A5:J5"/>
    <mergeCell ref="B3:B4"/>
    <mergeCell ref="A7:L7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4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39" t="s">
        <v>372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358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270</v>
      </c>
      <c r="C6" s="7" t="s">
        <v>271</v>
      </c>
      <c r="D6" s="7" t="s">
        <v>272</v>
      </c>
      <c r="E6" s="7" t="s">
        <v>459</v>
      </c>
      <c r="F6" s="7" t="s">
        <v>396</v>
      </c>
      <c r="G6" s="18" t="s">
        <v>60</v>
      </c>
      <c r="H6" s="18" t="s">
        <v>67</v>
      </c>
      <c r="I6" s="18" t="s">
        <v>68</v>
      </c>
      <c r="J6" s="8"/>
      <c r="K6" s="8" t="str">
        <f>"180,0"</f>
        <v>180,0</v>
      </c>
      <c r="L6" s="8" t="str">
        <f>"101,2320"</f>
        <v>101,2320</v>
      </c>
      <c r="M6" s="7"/>
    </row>
    <row r="7" spans="1:13">
      <c r="B7" s="5" t="s">
        <v>84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1.1640625" style="5" bestFit="1" customWidth="1"/>
    <col min="22" max="16384" width="9.1640625" style="3"/>
  </cols>
  <sheetData>
    <row r="1" spans="1:21" s="2" customFormat="1" ht="29" customHeight="1">
      <c r="A1" s="39" t="s">
        <v>389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33" t="s">
        <v>10</v>
      </c>
      <c r="P3" s="33"/>
      <c r="Q3" s="33"/>
      <c r="R3" s="33"/>
      <c r="S3" s="54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34"/>
      <c r="U4" s="36"/>
    </row>
    <row r="5" spans="1:21" ht="16">
      <c r="A5" s="37" t="s">
        <v>63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10" t="s">
        <v>83</v>
      </c>
      <c r="B6" s="9" t="s">
        <v>149</v>
      </c>
      <c r="C6" s="9" t="s">
        <v>150</v>
      </c>
      <c r="D6" s="9" t="s">
        <v>151</v>
      </c>
      <c r="E6" s="9" t="s">
        <v>459</v>
      </c>
      <c r="F6" s="9" t="s">
        <v>25</v>
      </c>
      <c r="G6" s="19" t="s">
        <v>32</v>
      </c>
      <c r="H6" s="19" t="s">
        <v>152</v>
      </c>
      <c r="I6" s="20" t="s">
        <v>153</v>
      </c>
      <c r="J6" s="10"/>
      <c r="K6" s="19" t="s">
        <v>30</v>
      </c>
      <c r="L6" s="19" t="s">
        <v>31</v>
      </c>
      <c r="M6" s="19" t="s">
        <v>60</v>
      </c>
      <c r="N6" s="10"/>
      <c r="O6" s="19" t="s">
        <v>33</v>
      </c>
      <c r="P6" s="19" t="s">
        <v>154</v>
      </c>
      <c r="Q6" s="19" t="s">
        <v>155</v>
      </c>
      <c r="R6" s="10"/>
      <c r="S6" s="29" t="str">
        <f>"735,0"</f>
        <v>735,0</v>
      </c>
      <c r="T6" s="10" t="str">
        <f>"434,1645"</f>
        <v>434,1645</v>
      </c>
      <c r="U6" s="9" t="s">
        <v>451</v>
      </c>
    </row>
    <row r="7" spans="1:21">
      <c r="A7" s="12" t="s">
        <v>86</v>
      </c>
      <c r="B7" s="11" t="s">
        <v>156</v>
      </c>
      <c r="C7" s="11" t="s">
        <v>157</v>
      </c>
      <c r="D7" s="11" t="s">
        <v>158</v>
      </c>
      <c r="E7" s="11" t="s">
        <v>459</v>
      </c>
      <c r="F7" s="11" t="s">
        <v>55</v>
      </c>
      <c r="G7" s="22" t="s">
        <v>32</v>
      </c>
      <c r="H7" s="22" t="s">
        <v>32</v>
      </c>
      <c r="I7" s="22" t="s">
        <v>32</v>
      </c>
      <c r="J7" s="12"/>
      <c r="K7" s="22"/>
      <c r="L7" s="12"/>
      <c r="M7" s="12"/>
      <c r="N7" s="12"/>
      <c r="O7" s="22"/>
      <c r="P7" s="12"/>
      <c r="Q7" s="12"/>
      <c r="R7" s="12"/>
      <c r="S7" s="30">
        <v>0</v>
      </c>
      <c r="T7" s="12" t="str">
        <f>"0,0000"</f>
        <v>0,0000</v>
      </c>
      <c r="U7" s="11"/>
    </row>
    <row r="8" spans="1:21">
      <c r="B8" s="5" t="s">
        <v>84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2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2.1640625" style="5" customWidth="1"/>
    <col min="18" max="16384" width="9.1640625" style="3"/>
  </cols>
  <sheetData>
    <row r="1" spans="1:17" s="2" customFormat="1" ht="29" customHeight="1">
      <c r="A1" s="39" t="s">
        <v>381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10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97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83</v>
      </c>
      <c r="B6" s="7" t="s">
        <v>294</v>
      </c>
      <c r="C6" s="7" t="s">
        <v>295</v>
      </c>
      <c r="D6" s="7" t="s">
        <v>296</v>
      </c>
      <c r="E6" s="7" t="s">
        <v>459</v>
      </c>
      <c r="F6" s="7" t="s">
        <v>25</v>
      </c>
      <c r="G6" s="25" t="s">
        <v>297</v>
      </c>
      <c r="H6" s="18" t="s">
        <v>297</v>
      </c>
      <c r="I6" s="18" t="s">
        <v>298</v>
      </c>
      <c r="J6" s="8"/>
      <c r="K6" s="18" t="s">
        <v>31</v>
      </c>
      <c r="L6" s="18" t="s">
        <v>60</v>
      </c>
      <c r="M6" s="8"/>
      <c r="N6" s="8"/>
      <c r="O6" s="8" t="str">
        <f>"232,5"</f>
        <v>232,5</v>
      </c>
      <c r="P6" s="8" t="str">
        <f>"240,6607"</f>
        <v>240,6607</v>
      </c>
      <c r="Q6" s="7" t="s">
        <v>422</v>
      </c>
    </row>
    <row r="7" spans="1:17">
      <c r="B7" s="5" t="s">
        <v>84</v>
      </c>
    </row>
    <row r="8" spans="1:17" ht="16">
      <c r="A8" s="50" t="s">
        <v>113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8" t="s">
        <v>83</v>
      </c>
      <c r="B9" s="7" t="s">
        <v>299</v>
      </c>
      <c r="C9" s="7" t="s">
        <v>300</v>
      </c>
      <c r="D9" s="7" t="s">
        <v>301</v>
      </c>
      <c r="E9" s="7" t="s">
        <v>459</v>
      </c>
      <c r="F9" s="7" t="s">
        <v>202</v>
      </c>
      <c r="G9" s="18" t="s">
        <v>73</v>
      </c>
      <c r="H9" s="18" t="s">
        <v>14</v>
      </c>
      <c r="I9" s="25" t="s">
        <v>105</v>
      </c>
      <c r="J9" s="8"/>
      <c r="K9" s="18" t="s">
        <v>56</v>
      </c>
      <c r="L9" s="25" t="s">
        <v>41</v>
      </c>
      <c r="M9" s="25" t="s">
        <v>41</v>
      </c>
      <c r="N9" s="8"/>
      <c r="O9" s="8" t="str">
        <f>"305,0"</f>
        <v>305,0</v>
      </c>
      <c r="P9" s="8" t="str">
        <f>"221,0945"</f>
        <v>221,0945</v>
      </c>
      <c r="Q9" s="7"/>
    </row>
    <row r="10" spans="1:17">
      <c r="B10" s="5" t="s">
        <v>84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0" style="5" customWidth="1"/>
    <col min="18" max="16384" width="9.1640625" style="3"/>
  </cols>
  <sheetData>
    <row r="1" spans="1:17" s="2" customFormat="1" ht="29" customHeight="1">
      <c r="A1" s="39" t="s">
        <v>382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10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113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83</v>
      </c>
      <c r="B6" s="7" t="s">
        <v>309</v>
      </c>
      <c r="C6" s="7" t="s">
        <v>408</v>
      </c>
      <c r="D6" s="7" t="s">
        <v>310</v>
      </c>
      <c r="E6" s="7" t="s">
        <v>465</v>
      </c>
      <c r="F6" s="7" t="s">
        <v>25</v>
      </c>
      <c r="G6" s="18" t="s">
        <v>94</v>
      </c>
      <c r="H6" s="25" t="s">
        <v>17</v>
      </c>
      <c r="I6" s="25" t="s">
        <v>17</v>
      </c>
      <c r="J6" s="8"/>
      <c r="K6" s="18" t="s">
        <v>14</v>
      </c>
      <c r="L6" s="18" t="s">
        <v>71</v>
      </c>
      <c r="M6" s="25" t="s">
        <v>15</v>
      </c>
      <c r="N6" s="8"/>
      <c r="O6" s="8" t="str">
        <f>"205,0"</f>
        <v>205,0</v>
      </c>
      <c r="P6" s="8" t="str">
        <f>"254,1611"</f>
        <v>254,1611</v>
      </c>
      <c r="Q6" s="7"/>
    </row>
    <row r="7" spans="1:17">
      <c r="B7" s="5" t="s">
        <v>84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5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39" t="s">
        <v>387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209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210</v>
      </c>
      <c r="C6" s="7" t="s">
        <v>211</v>
      </c>
      <c r="D6" s="7" t="s">
        <v>212</v>
      </c>
      <c r="E6" s="7" t="s">
        <v>459</v>
      </c>
      <c r="F6" s="7" t="s">
        <v>25</v>
      </c>
      <c r="G6" s="25" t="s">
        <v>213</v>
      </c>
      <c r="H6" s="18" t="s">
        <v>213</v>
      </c>
      <c r="I6" s="25" t="s">
        <v>177</v>
      </c>
      <c r="J6" s="8"/>
      <c r="K6" s="8" t="str">
        <f>"52,5"</f>
        <v>52,5</v>
      </c>
      <c r="L6" s="8" t="str">
        <f>"69,5310"</f>
        <v>69,5310</v>
      </c>
      <c r="M6" s="7" t="s">
        <v>214</v>
      </c>
    </row>
    <row r="7" spans="1:13">
      <c r="B7" s="5" t="s">
        <v>84</v>
      </c>
    </row>
    <row r="8" spans="1:13" ht="16">
      <c r="A8" s="50" t="s">
        <v>215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83</v>
      </c>
      <c r="B9" s="7" t="s">
        <v>216</v>
      </c>
      <c r="C9" s="7" t="s">
        <v>217</v>
      </c>
      <c r="D9" s="7" t="s">
        <v>218</v>
      </c>
      <c r="E9" s="7" t="s">
        <v>459</v>
      </c>
      <c r="F9" s="7" t="s">
        <v>219</v>
      </c>
      <c r="G9" s="18" t="s">
        <v>110</v>
      </c>
      <c r="H9" s="18" t="s">
        <v>220</v>
      </c>
      <c r="I9" s="25" t="s">
        <v>176</v>
      </c>
      <c r="J9" s="8"/>
      <c r="K9" s="8" t="str">
        <f>"47,5"</f>
        <v>47,5</v>
      </c>
      <c r="L9" s="8" t="str">
        <f>"56,6818"</f>
        <v>56,6818</v>
      </c>
      <c r="M9" s="7"/>
    </row>
    <row r="10" spans="1:13">
      <c r="B10" s="5" t="s">
        <v>84</v>
      </c>
    </row>
    <row r="11" spans="1:13" ht="16">
      <c r="A11" s="50" t="s">
        <v>113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83</v>
      </c>
      <c r="B12" s="7" t="s">
        <v>221</v>
      </c>
      <c r="C12" s="7" t="s">
        <v>412</v>
      </c>
      <c r="D12" s="7" t="s">
        <v>222</v>
      </c>
      <c r="E12" s="7" t="s">
        <v>461</v>
      </c>
      <c r="F12" s="7" t="s">
        <v>25</v>
      </c>
      <c r="G12" s="18" t="s">
        <v>223</v>
      </c>
      <c r="H12" s="18" t="s">
        <v>92</v>
      </c>
      <c r="I12" s="18" t="s">
        <v>224</v>
      </c>
      <c r="J12" s="18" t="s">
        <v>93</v>
      </c>
      <c r="K12" s="8" t="str">
        <f>"82,5"</f>
        <v>82,5</v>
      </c>
      <c r="L12" s="8" t="str">
        <f>"84,2640"</f>
        <v>84,2640</v>
      </c>
      <c r="M12" s="7" t="s">
        <v>431</v>
      </c>
    </row>
    <row r="13" spans="1:13">
      <c r="B13" s="5" t="s">
        <v>84</v>
      </c>
    </row>
    <row r="14" spans="1:13" ht="16">
      <c r="A14" s="50" t="s">
        <v>97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83</v>
      </c>
      <c r="B15" s="7" t="s">
        <v>225</v>
      </c>
      <c r="C15" s="7" t="s">
        <v>226</v>
      </c>
      <c r="D15" s="7" t="s">
        <v>227</v>
      </c>
      <c r="E15" s="7" t="s">
        <v>459</v>
      </c>
      <c r="F15" s="7" t="s">
        <v>25</v>
      </c>
      <c r="G15" s="18" t="s">
        <v>14</v>
      </c>
      <c r="H15" s="18" t="s">
        <v>71</v>
      </c>
      <c r="I15" s="18" t="s">
        <v>106</v>
      </c>
      <c r="J15" s="8"/>
      <c r="K15" s="8" t="str">
        <f>"117,5"</f>
        <v>117,5</v>
      </c>
      <c r="L15" s="8" t="str">
        <f>"91,2505"</f>
        <v>91,2505</v>
      </c>
      <c r="M15" s="7" t="s">
        <v>438</v>
      </c>
    </row>
    <row r="16" spans="1:13">
      <c r="B16" s="5" t="s">
        <v>84</v>
      </c>
    </row>
    <row r="17" spans="1:13" ht="16">
      <c r="A17" s="50" t="s">
        <v>113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10" t="s">
        <v>83</v>
      </c>
      <c r="B18" s="9" t="s">
        <v>228</v>
      </c>
      <c r="C18" s="9" t="s">
        <v>229</v>
      </c>
      <c r="D18" s="9" t="s">
        <v>230</v>
      </c>
      <c r="E18" s="9" t="s">
        <v>462</v>
      </c>
      <c r="F18" s="9" t="s">
        <v>25</v>
      </c>
      <c r="G18" s="19" t="s">
        <v>231</v>
      </c>
      <c r="H18" s="19" t="s">
        <v>73</v>
      </c>
      <c r="I18" s="19" t="s">
        <v>104</v>
      </c>
      <c r="J18" s="10"/>
      <c r="K18" s="10" t="str">
        <f>"107,5"</f>
        <v>107,5</v>
      </c>
      <c r="L18" s="10" t="str">
        <f>"77,6258"</f>
        <v>77,6258</v>
      </c>
      <c r="M18" s="9" t="s">
        <v>439</v>
      </c>
    </row>
    <row r="19" spans="1:13">
      <c r="A19" s="12" t="s">
        <v>83</v>
      </c>
      <c r="B19" s="11" t="s">
        <v>232</v>
      </c>
      <c r="C19" s="11" t="s">
        <v>233</v>
      </c>
      <c r="D19" s="11" t="s">
        <v>234</v>
      </c>
      <c r="E19" s="11" t="s">
        <v>459</v>
      </c>
      <c r="F19" s="11" t="s">
        <v>25</v>
      </c>
      <c r="G19" s="21" t="s">
        <v>59</v>
      </c>
      <c r="H19" s="21" t="s">
        <v>30</v>
      </c>
      <c r="I19" s="22" t="s">
        <v>31</v>
      </c>
      <c r="J19" s="12"/>
      <c r="K19" s="12" t="str">
        <f>"150,0"</f>
        <v>150,0</v>
      </c>
      <c r="L19" s="12" t="str">
        <f>"109,0650"</f>
        <v>109,0650</v>
      </c>
      <c r="M19" s="11" t="s">
        <v>440</v>
      </c>
    </row>
    <row r="20" spans="1:13">
      <c r="B20" s="5" t="s">
        <v>84</v>
      </c>
    </row>
    <row r="21" spans="1:13" ht="16">
      <c r="A21" s="50" t="s">
        <v>11</v>
      </c>
      <c r="B21" s="50"/>
      <c r="C21" s="51"/>
      <c r="D21" s="51"/>
      <c r="E21" s="51"/>
      <c r="F21" s="51"/>
      <c r="G21" s="51"/>
      <c r="H21" s="51"/>
      <c r="I21" s="51"/>
      <c r="J21" s="51"/>
    </row>
    <row r="22" spans="1:13">
      <c r="A22" s="10" t="s">
        <v>83</v>
      </c>
      <c r="B22" s="9" t="s">
        <v>179</v>
      </c>
      <c r="C22" s="9" t="s">
        <v>180</v>
      </c>
      <c r="D22" s="9" t="s">
        <v>181</v>
      </c>
      <c r="E22" s="9" t="s">
        <v>459</v>
      </c>
      <c r="F22" s="9" t="s">
        <v>25</v>
      </c>
      <c r="G22" s="19" t="s">
        <v>30</v>
      </c>
      <c r="H22" s="10"/>
      <c r="I22" s="10"/>
      <c r="J22" s="10"/>
      <c r="K22" s="10" t="str">
        <f>"150,0"</f>
        <v>150,0</v>
      </c>
      <c r="L22" s="10" t="str">
        <f>"102,5700"</f>
        <v>102,5700</v>
      </c>
      <c r="M22" s="9"/>
    </row>
    <row r="23" spans="1:13">
      <c r="A23" s="12" t="s">
        <v>83</v>
      </c>
      <c r="B23" s="11" t="s">
        <v>235</v>
      </c>
      <c r="C23" s="11" t="s">
        <v>399</v>
      </c>
      <c r="D23" s="11" t="s">
        <v>236</v>
      </c>
      <c r="E23" s="11" t="s">
        <v>461</v>
      </c>
      <c r="F23" s="11" t="s">
        <v>397</v>
      </c>
      <c r="G23" s="21" t="s">
        <v>73</v>
      </c>
      <c r="H23" s="21" t="s">
        <v>14</v>
      </c>
      <c r="I23" s="22" t="s">
        <v>15</v>
      </c>
      <c r="J23" s="12"/>
      <c r="K23" s="12" t="str">
        <f>"110,0"</f>
        <v>110,0</v>
      </c>
      <c r="L23" s="12" t="str">
        <f>"76,4564"</f>
        <v>76,4564</v>
      </c>
      <c r="M23" s="11" t="s">
        <v>441</v>
      </c>
    </row>
    <row r="24" spans="1:13">
      <c r="B24" s="5" t="s">
        <v>84</v>
      </c>
    </row>
    <row r="25" spans="1:13" ht="16">
      <c r="A25" s="50" t="s">
        <v>21</v>
      </c>
      <c r="B25" s="50"/>
      <c r="C25" s="51"/>
      <c r="D25" s="51"/>
      <c r="E25" s="51"/>
      <c r="F25" s="51"/>
      <c r="G25" s="51"/>
      <c r="H25" s="51"/>
      <c r="I25" s="51"/>
      <c r="J25" s="51"/>
    </row>
    <row r="26" spans="1:13">
      <c r="A26" s="10" t="s">
        <v>83</v>
      </c>
      <c r="B26" s="9" t="s">
        <v>237</v>
      </c>
      <c r="C26" s="9" t="s">
        <v>413</v>
      </c>
      <c r="D26" s="9" t="s">
        <v>238</v>
      </c>
      <c r="E26" s="9" t="s">
        <v>463</v>
      </c>
      <c r="F26" s="9" t="s">
        <v>25</v>
      </c>
      <c r="G26" s="20" t="s">
        <v>72</v>
      </c>
      <c r="H26" s="19" t="s">
        <v>72</v>
      </c>
      <c r="I26" s="20" t="s">
        <v>40</v>
      </c>
      <c r="J26" s="10"/>
      <c r="K26" s="10" t="str">
        <f>"125,0"</f>
        <v>125,0</v>
      </c>
      <c r="L26" s="10" t="str">
        <f>"80,7375"</f>
        <v>80,7375</v>
      </c>
      <c r="M26" s="9" t="s">
        <v>442</v>
      </c>
    </row>
    <row r="27" spans="1:13">
      <c r="A27" s="24" t="s">
        <v>83</v>
      </c>
      <c r="B27" s="23" t="s">
        <v>239</v>
      </c>
      <c r="C27" s="23" t="s">
        <v>240</v>
      </c>
      <c r="D27" s="23" t="s">
        <v>241</v>
      </c>
      <c r="E27" s="23" t="s">
        <v>459</v>
      </c>
      <c r="F27" s="23" t="s">
        <v>242</v>
      </c>
      <c r="G27" s="26" t="s">
        <v>47</v>
      </c>
      <c r="H27" s="26" t="s">
        <v>56</v>
      </c>
      <c r="I27" s="26" t="s">
        <v>197</v>
      </c>
      <c r="J27" s="24"/>
      <c r="K27" s="24" t="str">
        <f>"202,5"</f>
        <v>202,5</v>
      </c>
      <c r="L27" s="24" t="str">
        <f>"133,5892"</f>
        <v>133,5892</v>
      </c>
      <c r="M27" s="23"/>
    </row>
    <row r="28" spans="1:13">
      <c r="A28" s="24" t="s">
        <v>85</v>
      </c>
      <c r="B28" s="23" t="s">
        <v>243</v>
      </c>
      <c r="C28" s="23" t="s">
        <v>244</v>
      </c>
      <c r="D28" s="23" t="s">
        <v>245</v>
      </c>
      <c r="E28" s="23" t="s">
        <v>459</v>
      </c>
      <c r="F28" s="23" t="s">
        <v>25</v>
      </c>
      <c r="G28" s="26" t="s">
        <v>29</v>
      </c>
      <c r="H28" s="26" t="s">
        <v>59</v>
      </c>
      <c r="I28" s="27" t="s">
        <v>246</v>
      </c>
      <c r="J28" s="24"/>
      <c r="K28" s="24" t="str">
        <f>"145,0"</f>
        <v>145,0</v>
      </c>
      <c r="L28" s="24" t="str">
        <f>"94,8300"</f>
        <v>94,8300</v>
      </c>
      <c r="M28" s="23" t="s">
        <v>443</v>
      </c>
    </row>
    <row r="29" spans="1:13">
      <c r="A29" s="12" t="s">
        <v>83</v>
      </c>
      <c r="B29" s="11" t="s">
        <v>247</v>
      </c>
      <c r="C29" s="11" t="s">
        <v>414</v>
      </c>
      <c r="D29" s="11" t="s">
        <v>248</v>
      </c>
      <c r="E29" s="11" t="s">
        <v>466</v>
      </c>
      <c r="F29" s="11" t="s">
        <v>25</v>
      </c>
      <c r="G29" s="21" t="s">
        <v>48</v>
      </c>
      <c r="H29" s="21" t="s">
        <v>49</v>
      </c>
      <c r="I29" s="22" t="s">
        <v>246</v>
      </c>
      <c r="J29" s="12"/>
      <c r="K29" s="12" t="str">
        <f>"147,5"</f>
        <v>147,5</v>
      </c>
      <c r="L29" s="12" t="str">
        <f>"102,2720"</f>
        <v>102,2720</v>
      </c>
      <c r="M29" s="11" t="s">
        <v>444</v>
      </c>
    </row>
    <row r="30" spans="1:13">
      <c r="B30" s="5" t="s">
        <v>84</v>
      </c>
    </row>
    <row r="31" spans="1:13" ht="16">
      <c r="A31" s="50" t="s">
        <v>43</v>
      </c>
      <c r="B31" s="50"/>
      <c r="C31" s="51"/>
      <c r="D31" s="51"/>
      <c r="E31" s="51"/>
      <c r="F31" s="51"/>
      <c r="G31" s="51"/>
      <c r="H31" s="51"/>
      <c r="I31" s="51"/>
      <c r="J31" s="51"/>
    </row>
    <row r="32" spans="1:13">
      <c r="A32" s="10" t="s">
        <v>83</v>
      </c>
      <c r="B32" s="9" t="s">
        <v>249</v>
      </c>
      <c r="C32" s="9" t="s">
        <v>250</v>
      </c>
      <c r="D32" s="9" t="s">
        <v>46</v>
      </c>
      <c r="E32" s="9" t="s">
        <v>459</v>
      </c>
      <c r="F32" s="9" t="s">
        <v>219</v>
      </c>
      <c r="G32" s="19" t="s">
        <v>251</v>
      </c>
      <c r="H32" s="19" t="s">
        <v>252</v>
      </c>
      <c r="I32" s="19" t="s">
        <v>37</v>
      </c>
      <c r="J32" s="10"/>
      <c r="K32" s="10" t="str">
        <f>"175,0"</f>
        <v>175,0</v>
      </c>
      <c r="L32" s="10" t="str">
        <f>"108,9550"</f>
        <v>108,9550</v>
      </c>
      <c r="M32" s="9" t="s">
        <v>423</v>
      </c>
    </row>
    <row r="33" spans="1:13">
      <c r="A33" s="24" t="s">
        <v>85</v>
      </c>
      <c r="B33" s="23" t="s">
        <v>253</v>
      </c>
      <c r="C33" s="23" t="s">
        <v>254</v>
      </c>
      <c r="D33" s="23" t="s">
        <v>255</v>
      </c>
      <c r="E33" s="23" t="s">
        <v>459</v>
      </c>
      <c r="F33" s="23" t="s">
        <v>25</v>
      </c>
      <c r="G33" s="26" t="s">
        <v>246</v>
      </c>
      <c r="H33" s="27" t="s">
        <v>256</v>
      </c>
      <c r="I33" s="26" t="s">
        <v>256</v>
      </c>
      <c r="J33" s="24"/>
      <c r="K33" s="24" t="str">
        <f>"162,5"</f>
        <v>162,5</v>
      </c>
      <c r="L33" s="24" t="str">
        <f>"100,2463"</f>
        <v>100,2463</v>
      </c>
      <c r="M33" s="23"/>
    </row>
    <row r="34" spans="1:13">
      <c r="A34" s="24" t="s">
        <v>148</v>
      </c>
      <c r="B34" s="23" t="s">
        <v>257</v>
      </c>
      <c r="C34" s="23" t="s">
        <v>258</v>
      </c>
      <c r="D34" s="23" t="s">
        <v>259</v>
      </c>
      <c r="E34" s="23" t="s">
        <v>459</v>
      </c>
      <c r="F34" s="23" t="s">
        <v>55</v>
      </c>
      <c r="G34" s="27" t="s">
        <v>48</v>
      </c>
      <c r="H34" s="26" t="s">
        <v>48</v>
      </c>
      <c r="I34" s="26" t="s">
        <v>59</v>
      </c>
      <c r="J34" s="24"/>
      <c r="K34" s="24" t="str">
        <f>"145,0"</f>
        <v>145,0</v>
      </c>
      <c r="L34" s="24" t="str">
        <f>"88,4935"</f>
        <v>88,4935</v>
      </c>
      <c r="M34" s="23"/>
    </row>
    <row r="35" spans="1:13">
      <c r="A35" s="24" t="s">
        <v>83</v>
      </c>
      <c r="B35" s="23" t="s">
        <v>260</v>
      </c>
      <c r="C35" s="23" t="s">
        <v>415</v>
      </c>
      <c r="D35" s="23" t="s">
        <v>46</v>
      </c>
      <c r="E35" s="23" t="s">
        <v>461</v>
      </c>
      <c r="F35" s="23" t="s">
        <v>25</v>
      </c>
      <c r="G35" s="26" t="s">
        <v>72</v>
      </c>
      <c r="H35" s="26" t="s">
        <v>40</v>
      </c>
      <c r="I35" s="26" t="s">
        <v>48</v>
      </c>
      <c r="J35" s="24"/>
      <c r="K35" s="24" t="str">
        <f>"140,0"</f>
        <v>140,0</v>
      </c>
      <c r="L35" s="24" t="str">
        <f>"87,1640"</f>
        <v>87,1640</v>
      </c>
      <c r="M35" s="23"/>
    </row>
    <row r="36" spans="1:13">
      <c r="A36" s="12" t="s">
        <v>83</v>
      </c>
      <c r="B36" s="11" t="s">
        <v>249</v>
      </c>
      <c r="C36" s="11" t="s">
        <v>416</v>
      </c>
      <c r="D36" s="11" t="s">
        <v>46</v>
      </c>
      <c r="E36" s="11" t="s">
        <v>466</v>
      </c>
      <c r="F36" s="11" t="s">
        <v>219</v>
      </c>
      <c r="G36" s="21" t="s">
        <v>251</v>
      </c>
      <c r="H36" s="21" t="s">
        <v>252</v>
      </c>
      <c r="I36" s="21" t="s">
        <v>37</v>
      </c>
      <c r="J36" s="12"/>
      <c r="K36" s="12" t="str">
        <f>"175,0"</f>
        <v>175,0</v>
      </c>
      <c r="L36" s="12" t="str">
        <f>"115,4923"</f>
        <v>115,4923</v>
      </c>
      <c r="M36" s="11" t="s">
        <v>423</v>
      </c>
    </row>
    <row r="37" spans="1:13">
      <c r="B37" s="5" t="s">
        <v>84</v>
      </c>
    </row>
    <row r="38" spans="1:13" ht="16">
      <c r="A38" s="50" t="s">
        <v>63</v>
      </c>
      <c r="B38" s="50"/>
      <c r="C38" s="51"/>
      <c r="D38" s="51"/>
      <c r="E38" s="51"/>
      <c r="F38" s="51"/>
      <c r="G38" s="51"/>
      <c r="H38" s="51"/>
      <c r="I38" s="51"/>
      <c r="J38" s="51"/>
    </row>
    <row r="39" spans="1:13">
      <c r="A39" s="8" t="s">
        <v>83</v>
      </c>
      <c r="B39" s="7" t="s">
        <v>261</v>
      </c>
      <c r="C39" s="7" t="s">
        <v>262</v>
      </c>
      <c r="D39" s="7" t="s">
        <v>263</v>
      </c>
      <c r="E39" s="7" t="s">
        <v>459</v>
      </c>
      <c r="F39" s="7" t="s">
        <v>430</v>
      </c>
      <c r="G39" s="18" t="s">
        <v>38</v>
      </c>
      <c r="H39" s="18" t="s">
        <v>56</v>
      </c>
      <c r="I39" s="18" t="s">
        <v>264</v>
      </c>
      <c r="J39" s="8"/>
      <c r="K39" s="8" t="str">
        <f>"197,5"</f>
        <v>197,5</v>
      </c>
      <c r="L39" s="8" t="str">
        <f>"116,2682"</f>
        <v>116,2682</v>
      </c>
      <c r="M39" s="7"/>
    </row>
    <row r="40" spans="1:13">
      <c r="B40" s="5" t="s">
        <v>84</v>
      </c>
    </row>
    <row r="41" spans="1:13" ht="16">
      <c r="A41" s="50" t="s">
        <v>265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3">
      <c r="A42" s="10" t="s">
        <v>83</v>
      </c>
      <c r="B42" s="9" t="s">
        <v>266</v>
      </c>
      <c r="C42" s="9" t="s">
        <v>267</v>
      </c>
      <c r="D42" s="9" t="s">
        <v>268</v>
      </c>
      <c r="E42" s="9" t="s">
        <v>459</v>
      </c>
      <c r="F42" s="9" t="s">
        <v>25</v>
      </c>
      <c r="G42" s="19" t="s">
        <v>269</v>
      </c>
      <c r="H42" s="20" t="s">
        <v>27</v>
      </c>
      <c r="I42" s="20" t="s">
        <v>27</v>
      </c>
      <c r="J42" s="10"/>
      <c r="K42" s="10" t="str">
        <f>"215,0"</f>
        <v>215,0</v>
      </c>
      <c r="L42" s="10" t="str">
        <f>"121,3460"</f>
        <v>121,3460</v>
      </c>
      <c r="M42" s="9" t="s">
        <v>445</v>
      </c>
    </row>
    <row r="43" spans="1:13">
      <c r="A43" s="24" t="s">
        <v>85</v>
      </c>
      <c r="B43" s="23" t="s">
        <v>270</v>
      </c>
      <c r="C43" s="23" t="s">
        <v>271</v>
      </c>
      <c r="D43" s="23" t="s">
        <v>272</v>
      </c>
      <c r="E43" s="23" t="s">
        <v>459</v>
      </c>
      <c r="F43" s="23" t="s">
        <v>396</v>
      </c>
      <c r="G43" s="26" t="s">
        <v>38</v>
      </c>
      <c r="H43" s="26" t="s">
        <v>56</v>
      </c>
      <c r="I43" s="26" t="s">
        <v>26</v>
      </c>
      <c r="J43" s="24"/>
      <c r="K43" s="24" t="str">
        <f>"200,0"</f>
        <v>200,0</v>
      </c>
      <c r="L43" s="24" t="str">
        <f>"112,4800"</f>
        <v>112,4800</v>
      </c>
      <c r="M43" s="23"/>
    </row>
    <row r="44" spans="1:13">
      <c r="A44" s="12" t="s">
        <v>83</v>
      </c>
      <c r="B44" s="11" t="s">
        <v>270</v>
      </c>
      <c r="C44" s="11" t="s">
        <v>417</v>
      </c>
      <c r="D44" s="11" t="s">
        <v>272</v>
      </c>
      <c r="E44" s="11" t="s">
        <v>461</v>
      </c>
      <c r="F44" s="11" t="s">
        <v>396</v>
      </c>
      <c r="G44" s="21" t="s">
        <v>38</v>
      </c>
      <c r="H44" s="21" t="s">
        <v>56</v>
      </c>
      <c r="I44" s="21" t="s">
        <v>26</v>
      </c>
      <c r="J44" s="12"/>
      <c r="K44" s="12" t="str">
        <f>"200,0"</f>
        <v>200,0</v>
      </c>
      <c r="L44" s="12" t="str">
        <f>"113,0424"</f>
        <v>113,0424</v>
      </c>
      <c r="M44" s="11"/>
    </row>
    <row r="45" spans="1:13">
      <c r="B45" s="5" t="s">
        <v>84</v>
      </c>
    </row>
    <row r="46" spans="1:13">
      <c r="B46" s="5" t="s">
        <v>84</v>
      </c>
    </row>
    <row r="47" spans="1:13">
      <c r="B47" s="5" t="s">
        <v>84</v>
      </c>
    </row>
    <row r="48" spans="1:13" ht="18">
      <c r="B48" s="13" t="s">
        <v>74</v>
      </c>
      <c r="C48" s="13"/>
      <c r="F48" s="3"/>
    </row>
    <row r="49" spans="2:6" ht="16">
      <c r="B49" s="14" t="s">
        <v>75</v>
      </c>
      <c r="C49" s="14"/>
      <c r="F49" s="3"/>
    </row>
    <row r="50" spans="2:6" ht="14">
      <c r="B50" s="15"/>
      <c r="C50" s="16" t="s">
        <v>76</v>
      </c>
      <c r="F50" s="3"/>
    </row>
    <row r="51" spans="2:6" ht="14">
      <c r="B51" s="17" t="s">
        <v>77</v>
      </c>
      <c r="C51" s="17" t="s">
        <v>78</v>
      </c>
      <c r="D51" s="17" t="s">
        <v>421</v>
      </c>
      <c r="E51" s="17" t="s">
        <v>204</v>
      </c>
      <c r="F51" s="17" t="s">
        <v>81</v>
      </c>
    </row>
    <row r="52" spans="2:6">
      <c r="B52" s="5" t="s">
        <v>239</v>
      </c>
      <c r="C52" s="5" t="s">
        <v>76</v>
      </c>
      <c r="D52" s="6" t="s">
        <v>82</v>
      </c>
      <c r="E52" s="6" t="s">
        <v>197</v>
      </c>
      <c r="F52" s="6" t="s">
        <v>273</v>
      </c>
    </row>
    <row r="53" spans="2:6">
      <c r="B53" s="5" t="s">
        <v>266</v>
      </c>
      <c r="C53" s="5" t="s">
        <v>76</v>
      </c>
      <c r="D53" s="6" t="s">
        <v>274</v>
      </c>
      <c r="E53" s="6" t="s">
        <v>269</v>
      </c>
      <c r="F53" s="6" t="s">
        <v>275</v>
      </c>
    </row>
    <row r="54" spans="2:6">
      <c r="B54" s="5" t="s">
        <v>261</v>
      </c>
      <c r="C54" s="5" t="s">
        <v>76</v>
      </c>
      <c r="D54" s="6" t="s">
        <v>159</v>
      </c>
      <c r="E54" s="6" t="s">
        <v>264</v>
      </c>
      <c r="F54" s="6" t="s">
        <v>276</v>
      </c>
    </row>
  </sheetData>
  <mergeCells count="21">
    <mergeCell ref="A31:J31"/>
    <mergeCell ref="A38:J38"/>
    <mergeCell ref="A41:J41"/>
    <mergeCell ref="B3:B4"/>
    <mergeCell ref="A8:J8"/>
    <mergeCell ref="A11:J11"/>
    <mergeCell ref="A14:J14"/>
    <mergeCell ref="A17:J17"/>
    <mergeCell ref="A21:J21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4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33203125" style="5" customWidth="1"/>
    <col min="14" max="16384" width="9.1640625" style="3"/>
  </cols>
  <sheetData>
    <row r="1" spans="1:13" s="2" customFormat="1" ht="29" customHeight="1">
      <c r="A1" s="39" t="s">
        <v>388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87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160</v>
      </c>
      <c r="C6" s="7" t="s">
        <v>161</v>
      </c>
      <c r="D6" s="7" t="s">
        <v>162</v>
      </c>
      <c r="E6" s="7" t="s">
        <v>462</v>
      </c>
      <c r="F6" s="7" t="s">
        <v>25</v>
      </c>
      <c r="G6" s="18" t="s">
        <v>163</v>
      </c>
      <c r="H6" s="18" t="s">
        <v>164</v>
      </c>
      <c r="I6" s="18" t="s">
        <v>165</v>
      </c>
      <c r="J6" s="8"/>
      <c r="K6" s="8" t="str">
        <f>"27,5"</f>
        <v>27,5</v>
      </c>
      <c r="L6" s="8" t="str">
        <f>"34,5400"</f>
        <v>34,5400</v>
      </c>
      <c r="M6" s="7" t="s">
        <v>446</v>
      </c>
    </row>
    <row r="7" spans="1:13">
      <c r="B7" s="5" t="s">
        <v>84</v>
      </c>
    </row>
    <row r="8" spans="1:13" ht="16">
      <c r="A8" s="50" t="s">
        <v>113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83</v>
      </c>
      <c r="B9" s="7" t="s">
        <v>166</v>
      </c>
      <c r="C9" s="7" t="s">
        <v>167</v>
      </c>
      <c r="D9" s="7" t="s">
        <v>168</v>
      </c>
      <c r="E9" s="7" t="s">
        <v>459</v>
      </c>
      <c r="F9" s="7" t="s">
        <v>450</v>
      </c>
      <c r="G9" s="18" t="s">
        <v>19</v>
      </c>
      <c r="H9" s="18" t="s">
        <v>73</v>
      </c>
      <c r="I9" s="18" t="s">
        <v>14</v>
      </c>
      <c r="J9" s="8"/>
      <c r="K9" s="8" t="str">
        <f>"110,0"</f>
        <v>110,0</v>
      </c>
      <c r="L9" s="8" t="str">
        <f>"106,2930"</f>
        <v>106,2930</v>
      </c>
      <c r="M9" s="7" t="s">
        <v>447</v>
      </c>
    </row>
    <row r="10" spans="1:13">
      <c r="B10" s="5" t="s">
        <v>84</v>
      </c>
    </row>
    <row r="11" spans="1:13" ht="16">
      <c r="A11" s="50" t="s">
        <v>87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83</v>
      </c>
      <c r="B12" s="7" t="s">
        <v>169</v>
      </c>
      <c r="C12" s="7" t="s">
        <v>170</v>
      </c>
      <c r="D12" s="7" t="s">
        <v>171</v>
      </c>
      <c r="E12" s="7" t="s">
        <v>462</v>
      </c>
      <c r="F12" s="7" t="s">
        <v>25</v>
      </c>
      <c r="G12" s="18" t="s">
        <v>164</v>
      </c>
      <c r="H12" s="25" t="s">
        <v>172</v>
      </c>
      <c r="I12" s="18" t="s">
        <v>172</v>
      </c>
      <c r="J12" s="8"/>
      <c r="K12" s="8" t="str">
        <f>"30,0"</f>
        <v>30,0</v>
      </c>
      <c r="L12" s="8" t="str">
        <f>"40,0620"</f>
        <v>40,0620</v>
      </c>
      <c r="M12" s="7" t="s">
        <v>446</v>
      </c>
    </row>
    <row r="13" spans="1:13">
      <c r="B13" s="5" t="s">
        <v>84</v>
      </c>
    </row>
    <row r="14" spans="1:13" ht="16">
      <c r="A14" s="50" t="s">
        <v>97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83</v>
      </c>
      <c r="B15" s="7" t="s">
        <v>173</v>
      </c>
      <c r="C15" s="7" t="s">
        <v>174</v>
      </c>
      <c r="D15" s="7" t="s">
        <v>175</v>
      </c>
      <c r="E15" s="7" t="s">
        <v>462</v>
      </c>
      <c r="F15" s="7" t="s">
        <v>25</v>
      </c>
      <c r="G15" s="18" t="s">
        <v>176</v>
      </c>
      <c r="H15" s="18" t="s">
        <v>177</v>
      </c>
      <c r="I15" s="25" t="s">
        <v>178</v>
      </c>
      <c r="J15" s="8"/>
      <c r="K15" s="8" t="str">
        <f>"55,0"</f>
        <v>55,0</v>
      </c>
      <c r="L15" s="8" t="str">
        <f>"44,3135"</f>
        <v>44,3135</v>
      </c>
      <c r="M15" s="7" t="s">
        <v>446</v>
      </c>
    </row>
    <row r="16" spans="1:13">
      <c r="B16" s="5" t="s">
        <v>84</v>
      </c>
    </row>
    <row r="17" spans="1:13" ht="16">
      <c r="A17" s="50" t="s">
        <v>11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8" t="s">
        <v>83</v>
      </c>
      <c r="B18" s="7" t="s">
        <v>179</v>
      </c>
      <c r="C18" s="7" t="s">
        <v>180</v>
      </c>
      <c r="D18" s="7" t="s">
        <v>181</v>
      </c>
      <c r="E18" s="7" t="s">
        <v>459</v>
      </c>
      <c r="F18" s="7" t="s">
        <v>25</v>
      </c>
      <c r="G18" s="18" t="s">
        <v>30</v>
      </c>
      <c r="H18" s="8"/>
      <c r="I18" s="8"/>
      <c r="J18" s="8"/>
      <c r="K18" s="8" t="str">
        <f>"150,0"</f>
        <v>150,0</v>
      </c>
      <c r="L18" s="8" t="str">
        <f>"102,5700"</f>
        <v>102,5700</v>
      </c>
      <c r="M18" s="7"/>
    </row>
    <row r="19" spans="1:13">
      <c r="B19" s="5" t="s">
        <v>84</v>
      </c>
    </row>
    <row r="20" spans="1:13" ht="16">
      <c r="A20" s="50" t="s">
        <v>21</v>
      </c>
      <c r="B20" s="50"/>
      <c r="C20" s="51"/>
      <c r="D20" s="51"/>
      <c r="E20" s="51"/>
      <c r="F20" s="51"/>
      <c r="G20" s="51"/>
      <c r="H20" s="51"/>
      <c r="I20" s="51"/>
      <c r="J20" s="51"/>
    </row>
    <row r="21" spans="1:13">
      <c r="A21" s="10" t="s">
        <v>83</v>
      </c>
      <c r="B21" s="9" t="s">
        <v>182</v>
      </c>
      <c r="C21" s="9" t="s">
        <v>183</v>
      </c>
      <c r="D21" s="9" t="s">
        <v>184</v>
      </c>
      <c r="E21" s="9" t="s">
        <v>459</v>
      </c>
      <c r="F21" s="9" t="s">
        <v>185</v>
      </c>
      <c r="G21" s="19" t="s">
        <v>38</v>
      </c>
      <c r="H21" s="19" t="s">
        <v>26</v>
      </c>
      <c r="I21" s="20" t="s">
        <v>57</v>
      </c>
      <c r="J21" s="10"/>
      <c r="K21" s="10" t="str">
        <f>"200,0"</f>
        <v>200,0</v>
      </c>
      <c r="L21" s="10" t="str">
        <f>"129,4200"</f>
        <v>129,4200</v>
      </c>
      <c r="M21" s="9" t="s">
        <v>448</v>
      </c>
    </row>
    <row r="22" spans="1:13">
      <c r="A22" s="12" t="s">
        <v>85</v>
      </c>
      <c r="B22" s="11" t="s">
        <v>186</v>
      </c>
      <c r="C22" s="11" t="s">
        <v>187</v>
      </c>
      <c r="D22" s="11" t="s">
        <v>188</v>
      </c>
      <c r="E22" s="11" t="s">
        <v>459</v>
      </c>
      <c r="F22" s="11" t="s">
        <v>25</v>
      </c>
      <c r="G22" s="22" t="s">
        <v>31</v>
      </c>
      <c r="H22" s="21" t="s">
        <v>31</v>
      </c>
      <c r="I22" s="22" t="s">
        <v>67</v>
      </c>
      <c r="J22" s="12"/>
      <c r="K22" s="12" t="str">
        <f>"155,0"</f>
        <v>155,0</v>
      </c>
      <c r="L22" s="12" t="str">
        <f>"100,3625"</f>
        <v>100,3625</v>
      </c>
      <c r="M22" s="11"/>
    </row>
    <row r="23" spans="1:13">
      <c r="B23" s="5" t="s">
        <v>84</v>
      </c>
    </row>
    <row r="24" spans="1:13" ht="16">
      <c r="A24" s="50" t="s">
        <v>135</v>
      </c>
      <c r="B24" s="50"/>
      <c r="C24" s="51"/>
      <c r="D24" s="51"/>
      <c r="E24" s="51"/>
      <c r="F24" s="51"/>
      <c r="G24" s="51"/>
      <c r="H24" s="51"/>
      <c r="I24" s="51"/>
      <c r="J24" s="51"/>
    </row>
    <row r="25" spans="1:13">
      <c r="A25" s="10" t="s">
        <v>83</v>
      </c>
      <c r="B25" s="9" t="s">
        <v>189</v>
      </c>
      <c r="C25" s="9" t="s">
        <v>190</v>
      </c>
      <c r="D25" s="9" t="s">
        <v>191</v>
      </c>
      <c r="E25" s="9" t="s">
        <v>459</v>
      </c>
      <c r="F25" s="9" t="s">
        <v>25</v>
      </c>
      <c r="G25" s="19" t="s">
        <v>42</v>
      </c>
      <c r="H25" s="19" t="s">
        <v>192</v>
      </c>
      <c r="I25" s="20" t="s">
        <v>193</v>
      </c>
      <c r="J25" s="10"/>
      <c r="K25" s="10" t="str">
        <f>"232,5"</f>
        <v>232,5</v>
      </c>
      <c r="L25" s="10" t="str">
        <f>"135,4080"</f>
        <v>135,4080</v>
      </c>
      <c r="M25" s="9"/>
    </row>
    <row r="26" spans="1:13">
      <c r="A26" s="24" t="s">
        <v>85</v>
      </c>
      <c r="B26" s="23" t="s">
        <v>194</v>
      </c>
      <c r="C26" s="23" t="s">
        <v>195</v>
      </c>
      <c r="D26" s="23" t="s">
        <v>196</v>
      </c>
      <c r="E26" s="23" t="s">
        <v>459</v>
      </c>
      <c r="F26" s="23" t="s">
        <v>25</v>
      </c>
      <c r="G26" s="26" t="s">
        <v>197</v>
      </c>
      <c r="H26" s="26" t="s">
        <v>41</v>
      </c>
      <c r="I26" s="27" t="s">
        <v>57</v>
      </c>
      <c r="J26" s="24"/>
      <c r="K26" s="24" t="str">
        <f>"205,0"</f>
        <v>205,0</v>
      </c>
      <c r="L26" s="24" t="str">
        <f>"119,2280"</f>
        <v>119,2280</v>
      </c>
      <c r="M26" s="23" t="s">
        <v>449</v>
      </c>
    </row>
    <row r="27" spans="1:13">
      <c r="A27" s="12" t="s">
        <v>83</v>
      </c>
      <c r="B27" s="11" t="s">
        <v>189</v>
      </c>
      <c r="C27" s="11" t="s">
        <v>418</v>
      </c>
      <c r="D27" s="11" t="s">
        <v>191</v>
      </c>
      <c r="E27" s="11" t="s">
        <v>461</v>
      </c>
      <c r="F27" s="11" t="s">
        <v>25</v>
      </c>
      <c r="G27" s="21" t="s">
        <v>42</v>
      </c>
      <c r="H27" s="21" t="s">
        <v>192</v>
      </c>
      <c r="I27" s="22" t="s">
        <v>193</v>
      </c>
      <c r="J27" s="12"/>
      <c r="K27" s="12" t="str">
        <f>"232,5"</f>
        <v>232,5</v>
      </c>
      <c r="L27" s="12" t="str">
        <f>"137,3037"</f>
        <v>137,3037</v>
      </c>
      <c r="M27" s="11"/>
    </row>
    <row r="28" spans="1:13">
      <c r="B28" s="5" t="s">
        <v>84</v>
      </c>
    </row>
    <row r="29" spans="1:13" ht="16">
      <c r="A29" s="50" t="s">
        <v>198</v>
      </c>
      <c r="B29" s="50"/>
      <c r="C29" s="51"/>
      <c r="D29" s="51"/>
      <c r="E29" s="51"/>
      <c r="F29" s="51"/>
      <c r="G29" s="51"/>
      <c r="H29" s="51"/>
      <c r="I29" s="51"/>
      <c r="J29" s="51"/>
    </row>
    <row r="30" spans="1:13">
      <c r="A30" s="8" t="s">
        <v>83</v>
      </c>
      <c r="B30" s="7" t="s">
        <v>199</v>
      </c>
      <c r="C30" s="7" t="s">
        <v>200</v>
      </c>
      <c r="D30" s="7" t="s">
        <v>201</v>
      </c>
      <c r="E30" s="7" t="s">
        <v>461</v>
      </c>
      <c r="F30" s="7" t="s">
        <v>202</v>
      </c>
      <c r="G30" s="18" t="s">
        <v>92</v>
      </c>
      <c r="H30" s="18" t="s">
        <v>94</v>
      </c>
      <c r="I30" s="25" t="s">
        <v>73</v>
      </c>
      <c r="J30" s="8"/>
      <c r="K30" s="8" t="str">
        <f>"90,0"</f>
        <v>90,0</v>
      </c>
      <c r="L30" s="8" t="str">
        <f>"50,8136"</f>
        <v>50,8136</v>
      </c>
      <c r="M30" s="7" t="s">
        <v>203</v>
      </c>
    </row>
    <row r="31" spans="1:13">
      <c r="B31" s="5" t="s">
        <v>84</v>
      </c>
    </row>
    <row r="32" spans="1:13">
      <c r="B32" s="5" t="s">
        <v>84</v>
      </c>
    </row>
    <row r="33" spans="2:6">
      <c r="B33" s="5" t="s">
        <v>84</v>
      </c>
    </row>
    <row r="34" spans="2:6" ht="18">
      <c r="B34" s="13" t="s">
        <v>74</v>
      </c>
      <c r="C34" s="13"/>
      <c r="F34" s="3"/>
    </row>
    <row r="35" spans="2:6" ht="16">
      <c r="B35" s="14" t="s">
        <v>75</v>
      </c>
      <c r="C35" s="14"/>
      <c r="F35" s="3"/>
    </row>
    <row r="36" spans="2:6" ht="14">
      <c r="B36" s="15"/>
      <c r="C36" s="16" t="s">
        <v>76</v>
      </c>
      <c r="F36" s="3"/>
    </row>
    <row r="37" spans="2:6" ht="14">
      <c r="B37" s="17" t="s">
        <v>77</v>
      </c>
      <c r="C37" s="17" t="s">
        <v>78</v>
      </c>
      <c r="D37" s="17" t="s">
        <v>421</v>
      </c>
      <c r="E37" s="17" t="s">
        <v>204</v>
      </c>
      <c r="F37" s="17" t="s">
        <v>81</v>
      </c>
    </row>
    <row r="38" spans="2:6">
      <c r="B38" s="5" t="s">
        <v>189</v>
      </c>
      <c r="C38" s="5" t="s">
        <v>76</v>
      </c>
      <c r="D38" s="6" t="s">
        <v>140</v>
      </c>
      <c r="E38" s="6" t="s">
        <v>192</v>
      </c>
      <c r="F38" s="6" t="s">
        <v>205</v>
      </c>
    </row>
    <row r="39" spans="2:6">
      <c r="B39" s="5" t="s">
        <v>182</v>
      </c>
      <c r="C39" s="5" t="s">
        <v>76</v>
      </c>
      <c r="D39" s="6" t="s">
        <v>82</v>
      </c>
      <c r="E39" s="6" t="s">
        <v>26</v>
      </c>
      <c r="F39" s="6" t="s">
        <v>206</v>
      </c>
    </row>
    <row r="40" spans="2:6">
      <c r="B40" s="5" t="s">
        <v>194</v>
      </c>
      <c r="C40" s="5" t="s">
        <v>76</v>
      </c>
      <c r="D40" s="6" t="s">
        <v>140</v>
      </c>
      <c r="E40" s="6" t="s">
        <v>41</v>
      </c>
      <c r="F40" s="6" t="s">
        <v>207</v>
      </c>
    </row>
  </sheetData>
  <mergeCells count="19">
    <mergeCell ref="A29:J29"/>
    <mergeCell ref="B3:B4"/>
    <mergeCell ref="A8:J8"/>
    <mergeCell ref="A11:J11"/>
    <mergeCell ref="A14:J14"/>
    <mergeCell ref="A17:J17"/>
    <mergeCell ref="A20:J20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39" t="s">
        <v>385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11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277</v>
      </c>
      <c r="C6" s="7" t="s">
        <v>278</v>
      </c>
      <c r="D6" s="7" t="s">
        <v>279</v>
      </c>
      <c r="E6" s="7" t="s">
        <v>459</v>
      </c>
      <c r="F6" s="7" t="s">
        <v>25</v>
      </c>
      <c r="G6" s="18" t="s">
        <v>67</v>
      </c>
      <c r="H6" s="18" t="s">
        <v>68</v>
      </c>
      <c r="I6" s="18" t="s">
        <v>38</v>
      </c>
      <c r="J6" s="8"/>
      <c r="K6" s="8" t="str">
        <f>"190,0"</f>
        <v>190,0</v>
      </c>
      <c r="L6" s="8" t="str">
        <f>"127,3760"</f>
        <v>127,3760</v>
      </c>
      <c r="M6" s="7" t="s">
        <v>422</v>
      </c>
    </row>
    <row r="7" spans="1:13">
      <c r="B7" s="5" t="s">
        <v>84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9" t="s">
        <v>386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456</v>
      </c>
      <c r="B3" s="52" t="s">
        <v>0</v>
      </c>
      <c r="C3" s="49" t="s">
        <v>457</v>
      </c>
      <c r="D3" s="49" t="s">
        <v>7</v>
      </c>
      <c r="E3" s="33" t="s">
        <v>458</v>
      </c>
      <c r="F3" s="33" t="s">
        <v>6</v>
      </c>
      <c r="G3" s="33" t="s">
        <v>9</v>
      </c>
      <c r="H3" s="33"/>
      <c r="I3" s="33"/>
      <c r="J3" s="33"/>
      <c r="K3" s="33" t="s">
        <v>208</v>
      </c>
      <c r="L3" s="33" t="s">
        <v>3</v>
      </c>
      <c r="M3" s="35" t="s">
        <v>2</v>
      </c>
    </row>
    <row r="4" spans="1:13" s="1" customFormat="1" ht="21" customHeight="1" thickBot="1">
      <c r="A4" s="48"/>
      <c r="B4" s="53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11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83</v>
      </c>
      <c r="B6" s="7" t="s">
        <v>277</v>
      </c>
      <c r="C6" s="7" t="s">
        <v>278</v>
      </c>
      <c r="D6" s="7" t="s">
        <v>279</v>
      </c>
      <c r="E6" s="7" t="s">
        <v>459</v>
      </c>
      <c r="F6" s="7" t="s">
        <v>25</v>
      </c>
      <c r="G6" s="18" t="s">
        <v>67</v>
      </c>
      <c r="H6" s="18" t="s">
        <v>68</v>
      </c>
      <c r="I6" s="18" t="s">
        <v>38</v>
      </c>
      <c r="J6" s="8"/>
      <c r="K6" s="8" t="str">
        <f>"190,0"</f>
        <v>190,0</v>
      </c>
      <c r="L6" s="8" t="str">
        <f>"127,3760"</f>
        <v>127,3760</v>
      </c>
      <c r="M6" s="7" t="s">
        <v>394</v>
      </c>
    </row>
    <row r="7" spans="1:13">
      <c r="B7" s="5" t="s">
        <v>84</v>
      </c>
    </row>
    <row r="8" spans="1:13" ht="16">
      <c r="A8" s="50" t="s">
        <v>63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83</v>
      </c>
      <c r="B9" s="7" t="s">
        <v>280</v>
      </c>
      <c r="C9" s="7" t="s">
        <v>281</v>
      </c>
      <c r="D9" s="7" t="s">
        <v>282</v>
      </c>
      <c r="E9" s="7" t="s">
        <v>459</v>
      </c>
      <c r="F9" s="7" t="s">
        <v>25</v>
      </c>
      <c r="G9" s="18" t="s">
        <v>47</v>
      </c>
      <c r="H9" s="25" t="s">
        <v>56</v>
      </c>
      <c r="I9" s="25" t="s">
        <v>56</v>
      </c>
      <c r="J9" s="8"/>
      <c r="K9" s="8" t="str">
        <f>"185,0"</f>
        <v>185,0</v>
      </c>
      <c r="L9" s="8" t="str">
        <f>"109,9455"</f>
        <v>109,9455</v>
      </c>
      <c r="M9" s="7"/>
    </row>
    <row r="10" spans="1:13">
      <c r="B10" s="5" t="s">
        <v>84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IPL ПЛ без экипировки ДК</vt:lpstr>
      <vt:lpstr>IPL ПЛ без экипировки</vt:lpstr>
      <vt:lpstr>IPL ПЛ в бинтах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СПР Жим софт однопетельная ДК</vt:lpstr>
      <vt:lpstr>СПР Жим софт однопетельная</vt:lpstr>
      <vt:lpstr>СПР Жим СФО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  <vt:lpstr>ФЖД Любители ДК жим на макс.</vt:lpstr>
      <vt:lpstr>ФЖД Армейский жим на макс ДК</vt:lpstr>
      <vt:lpstr>ФЖД Военный жим на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2021-06-21T20:51:19Z</dcterms:modified>
</cp:coreProperties>
</file>