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Август/"/>
    </mc:Choice>
  </mc:AlternateContent>
  <xr:revisionPtr revIDLastSave="0" documentId="13_ncr:1_{3E46648A-5785-324B-8867-0028C3366C56}" xr6:coauthVersionLast="45" xr6:coauthVersionMax="45" xr10:uidLastSave="{00000000-0000-0000-0000-000000000000}"/>
  <bookViews>
    <workbookView xWindow="1680" yWindow="820" windowWidth="28800" windowHeight="16200" firstSheet="10" activeTab="13" xr2:uid="{00000000-000D-0000-FFFF-FFFF00000000}"/>
  </bookViews>
  <sheets>
    <sheet name="GPA ПЛ без экипировки ДК" sheetId="6" r:id="rId1"/>
    <sheet name="GPA ПЛ без экипировки" sheetId="5" r:id="rId2"/>
    <sheet name="GPA ПЛ в бинтах ДК" sheetId="8" r:id="rId3"/>
    <sheet name="GPA ПЛ в бинтах" sheetId="7" r:id="rId4"/>
    <sheet name="GPA Жим без экипировки ДК" sheetId="10" r:id="rId5"/>
    <sheet name="GPA Жим без экипировки" sheetId="9" r:id="rId6"/>
    <sheet name="СПР Жим софт однопетельная ДК" sheetId="19" r:id="rId7"/>
    <sheet name="СПР Жим софт однопетельная" sheetId="20" r:id="rId8"/>
    <sheet name="СПР Жим софт многопетельная ДК" sheetId="21" r:id="rId9"/>
    <sheet name="СПР Жим софт многопетельная" sheetId="22" r:id="rId10"/>
    <sheet name="GPA Тяга без экипировки ДК" sheetId="13" r:id="rId11"/>
    <sheet name="GPA Тяга без экипировки" sheetId="12" r:id="rId12"/>
    <sheet name="IPO Тяга в экипировке" sheetId="14" r:id="rId13"/>
    <sheet name="СПР Подъем на бицепс ДК" sheetId="24" r:id="rId14"/>
  </sheets>
  <definedNames>
    <definedName name="_FilterDatabase" localSheetId="7" hidden="1">'СПР Жим софт однопетельная'!$A$1:$K$3</definedName>
    <definedName name="_FilterDatabase" localSheetId="1" hidden="1">'GPA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3" l="1"/>
  <c r="L21" i="24"/>
  <c r="K21" i="24"/>
  <c r="E21" i="24"/>
  <c r="L20" i="24"/>
  <c r="K20" i="24"/>
  <c r="E20" i="24"/>
  <c r="L17" i="24"/>
  <c r="K17" i="24"/>
  <c r="E17" i="24"/>
  <c r="L16" i="24"/>
  <c r="K16" i="24"/>
  <c r="E16" i="24"/>
  <c r="L13" i="24"/>
  <c r="K13" i="24"/>
  <c r="E13" i="24"/>
  <c r="L12" i="24"/>
  <c r="K12" i="24"/>
  <c r="E12" i="24"/>
  <c r="L9" i="24"/>
  <c r="K9" i="24"/>
  <c r="E9" i="24"/>
  <c r="L6" i="24"/>
  <c r="K6" i="24"/>
  <c r="E6" i="24"/>
  <c r="E6" i="22" l="1"/>
  <c r="K6" i="22"/>
  <c r="L6" i="22"/>
  <c r="E7" i="22"/>
  <c r="K7" i="22"/>
  <c r="L7" i="22"/>
  <c r="E10" i="22"/>
  <c r="K10" i="22"/>
  <c r="L10" i="22"/>
  <c r="E13" i="22"/>
  <c r="K13" i="22"/>
  <c r="L13" i="22"/>
  <c r="E14" i="22"/>
  <c r="K14" i="22"/>
  <c r="L14" i="22"/>
  <c r="E6" i="21"/>
  <c r="K6" i="21"/>
  <c r="L6" i="21"/>
  <c r="E6" i="20"/>
  <c r="K6" i="20"/>
  <c r="L6" i="20"/>
  <c r="E6" i="19"/>
  <c r="L6" i="19"/>
  <c r="E9" i="19"/>
  <c r="K9" i="19"/>
  <c r="L9" i="19"/>
  <c r="E12" i="19"/>
  <c r="K12" i="19"/>
  <c r="L12" i="19"/>
  <c r="E13" i="19"/>
  <c r="K13" i="19"/>
  <c r="L13" i="19"/>
  <c r="L6" i="14" l="1"/>
  <c r="K6" i="14"/>
  <c r="E6" i="14"/>
  <c r="L34" i="13"/>
  <c r="K34" i="13"/>
  <c r="E34" i="13"/>
  <c r="L31" i="13"/>
  <c r="K31" i="13"/>
  <c r="E31" i="13"/>
  <c r="L28" i="13"/>
  <c r="K28" i="13"/>
  <c r="E28" i="13"/>
  <c r="L27" i="13"/>
  <c r="K27" i="13"/>
  <c r="E27" i="13"/>
  <c r="L24" i="13"/>
  <c r="K24" i="13"/>
  <c r="E24" i="13"/>
  <c r="L21" i="13"/>
  <c r="K21" i="13"/>
  <c r="E21" i="13"/>
  <c r="L18" i="13"/>
  <c r="K18" i="13"/>
  <c r="E18" i="13"/>
  <c r="L15" i="13"/>
  <c r="K15" i="13"/>
  <c r="E15" i="13"/>
  <c r="L12" i="13"/>
  <c r="K12" i="13"/>
  <c r="E12" i="13"/>
  <c r="L9" i="13"/>
  <c r="K9" i="13"/>
  <c r="E9" i="13"/>
  <c r="E6" i="13"/>
  <c r="L20" i="12"/>
  <c r="K20" i="12"/>
  <c r="E20" i="12"/>
  <c r="L19" i="12"/>
  <c r="K19" i="12"/>
  <c r="E19" i="12"/>
  <c r="L16" i="12"/>
  <c r="K16" i="12"/>
  <c r="E16" i="12"/>
  <c r="L15" i="12"/>
  <c r="K15" i="12"/>
  <c r="E15" i="12"/>
  <c r="L12" i="12"/>
  <c r="K12" i="12"/>
  <c r="E12" i="12"/>
  <c r="L9" i="12"/>
  <c r="K9" i="12"/>
  <c r="E9" i="12"/>
  <c r="L6" i="12"/>
  <c r="K6" i="12"/>
  <c r="E6" i="12"/>
  <c r="L35" i="10"/>
  <c r="K35" i="10"/>
  <c r="E35" i="10"/>
  <c r="L32" i="10"/>
  <c r="K32" i="10"/>
  <c r="E32" i="10"/>
  <c r="L31" i="10"/>
  <c r="K31" i="10"/>
  <c r="E31" i="10"/>
  <c r="L28" i="10"/>
  <c r="K28" i="10"/>
  <c r="E28" i="10"/>
  <c r="L25" i="10"/>
  <c r="K25" i="10"/>
  <c r="E25" i="10"/>
  <c r="L24" i="10"/>
  <c r="K24" i="10"/>
  <c r="E24" i="10"/>
  <c r="L23" i="10"/>
  <c r="K23" i="10"/>
  <c r="E23" i="10"/>
  <c r="L22" i="10"/>
  <c r="E22" i="10"/>
  <c r="L21" i="10"/>
  <c r="K21" i="10"/>
  <c r="E21" i="10"/>
  <c r="L18" i="10"/>
  <c r="K18" i="10"/>
  <c r="E18" i="10"/>
  <c r="L15" i="10"/>
  <c r="K15" i="10"/>
  <c r="E15" i="10"/>
  <c r="L14" i="10"/>
  <c r="K14" i="10"/>
  <c r="E14" i="10"/>
  <c r="L13" i="10"/>
  <c r="K13" i="10"/>
  <c r="E13" i="10"/>
  <c r="L12" i="10"/>
  <c r="K12" i="10"/>
  <c r="E12" i="10"/>
  <c r="L9" i="10"/>
  <c r="K9" i="10"/>
  <c r="E9" i="10"/>
  <c r="L6" i="10"/>
  <c r="K6" i="10"/>
  <c r="E6" i="10"/>
  <c r="L15" i="9"/>
  <c r="K15" i="9"/>
  <c r="E15" i="9"/>
  <c r="L12" i="9"/>
  <c r="K12" i="9"/>
  <c r="E12" i="9"/>
  <c r="L9" i="9"/>
  <c r="K9" i="9"/>
  <c r="E9" i="9"/>
  <c r="L6" i="9"/>
  <c r="K6" i="9"/>
  <c r="E6" i="9"/>
  <c r="T12" i="8"/>
  <c r="S12" i="8"/>
  <c r="E12" i="8"/>
  <c r="T9" i="8"/>
  <c r="S9" i="8"/>
  <c r="E9" i="8"/>
  <c r="T6" i="8"/>
  <c r="S6" i="8"/>
  <c r="E6" i="8"/>
  <c r="T9" i="7"/>
  <c r="S9" i="7"/>
  <c r="E9" i="7"/>
  <c r="T6" i="7"/>
  <c r="S6" i="7"/>
  <c r="E6" i="7"/>
  <c r="T24" i="6"/>
  <c r="S24" i="6"/>
  <c r="E24" i="6"/>
  <c r="T21" i="6"/>
  <c r="S21" i="6"/>
  <c r="E21" i="6"/>
  <c r="T18" i="6"/>
  <c r="S18" i="6"/>
  <c r="E18" i="6"/>
  <c r="T15" i="6"/>
  <c r="S15" i="6"/>
  <c r="E15" i="6"/>
  <c r="T12" i="6"/>
  <c r="S12" i="6"/>
  <c r="E12" i="6"/>
  <c r="T9" i="6"/>
  <c r="S9" i="6"/>
  <c r="E9" i="6"/>
  <c r="T6" i="6"/>
  <c r="S6" i="6"/>
  <c r="E6" i="6"/>
  <c r="T9" i="5"/>
  <c r="S9" i="5"/>
  <c r="E9" i="5"/>
  <c r="T6" i="5"/>
  <c r="S6" i="5"/>
  <c r="E6" i="5"/>
</calcChain>
</file>

<file path=xl/sharedStrings.xml><?xml version="1.0" encoding="utf-8"?>
<sst xmlns="http://schemas.openxmlformats.org/spreadsheetml/2006/main" count="1096" uniqueCount="353">
  <si>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</si>
  <si>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</si>
  <si>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</si>
  <si>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</si>
  <si>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</si>
  <si>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</si>
  <si>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Собственный 
Вес</t>
  </si>
  <si>
    <t>Город/Область</t>
  </si>
  <si>
    <t>Gloss</t>
  </si>
  <si>
    <t>Приседание</t>
  </si>
  <si>
    <t>Жим лёжа</t>
  </si>
  <si>
    <t>Становая тяга</t>
  </si>
  <si>
    <t>ВЕСОВАЯ КАТЕГОРИЯ   90</t>
  </si>
  <si>
    <t>Чередниченко Александр</t>
  </si>
  <si>
    <t>Открытая (04.02.1991)/29</t>
  </si>
  <si>
    <t>89,90</t>
  </si>
  <si>
    <t>250,0</t>
  </si>
  <si>
    <t>260,0</t>
  </si>
  <si>
    <t>270,0</t>
  </si>
  <si>
    <t>180,0</t>
  </si>
  <si>
    <t>187,5</t>
  </si>
  <si>
    <t>192,5</t>
  </si>
  <si>
    <t>290,0</t>
  </si>
  <si>
    <t>300,0</t>
  </si>
  <si>
    <t>ВЕСОВАЯ КАТЕГОРИЯ   100</t>
  </si>
  <si>
    <t>Лозыченко Константин</t>
  </si>
  <si>
    <t>Мастера 40-49 (11.01.1972)/48</t>
  </si>
  <si>
    <t>97,90</t>
  </si>
  <si>
    <t>190,0</t>
  </si>
  <si>
    <t>200,0</t>
  </si>
  <si>
    <t>205,0</t>
  </si>
  <si>
    <t>150,0</t>
  </si>
  <si>
    <t>155,0</t>
  </si>
  <si>
    <t>160,0</t>
  </si>
  <si>
    <t>230,0</t>
  </si>
  <si>
    <t>240,0</t>
  </si>
  <si>
    <t>245,0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</si>
  <si>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</si>
  <si>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</si>
  <si>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</si>
  <si>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</si>
  <si>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</si>
  <si>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</si>
  <si>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Gloss </t>
  </si>
  <si>
    <t>90</t>
  </si>
  <si>
    <t>100</t>
  </si>
  <si>
    <t>1</t>
  </si>
  <si>
    <t/>
  </si>
  <si>
    <t>Место</t>
  </si>
  <si>
    <t>ВЕСОВАЯ КАТЕГОРИЯ   48</t>
  </si>
  <si>
    <t>Карягина Татьяна</t>
  </si>
  <si>
    <t>Открытая (26.06.1996)/24</t>
  </si>
  <si>
    <t>47,60</t>
  </si>
  <si>
    <t xml:space="preserve">Москва </t>
  </si>
  <si>
    <t>75,0</t>
  </si>
  <si>
    <t>77,5</t>
  </si>
  <si>
    <t>40,0</t>
  </si>
  <si>
    <t>42,5</t>
  </si>
  <si>
    <t>90,0</t>
  </si>
  <si>
    <t>ВЕСОВАЯ КАТЕГОРИЯ   60</t>
  </si>
  <si>
    <t>Савицкая Любовь</t>
  </si>
  <si>
    <t>Открытая (09.09.1982)/37</t>
  </si>
  <si>
    <t>58,60</t>
  </si>
  <si>
    <t>60,0</t>
  </si>
  <si>
    <t>70,0</t>
  </si>
  <si>
    <t>80,0</t>
  </si>
  <si>
    <t>45,0</t>
  </si>
  <si>
    <t>50,0</t>
  </si>
  <si>
    <t>100,0</t>
  </si>
  <si>
    <t>110,0</t>
  </si>
  <si>
    <t>ВЕСОВАЯ КАТЕГОРИЯ   56</t>
  </si>
  <si>
    <t>Шейкин Дмитрий</t>
  </si>
  <si>
    <t>Открытая (24.05.1999)/21</t>
  </si>
  <si>
    <t>55,30</t>
  </si>
  <si>
    <t>115,0</t>
  </si>
  <si>
    <t>122,5</t>
  </si>
  <si>
    <t>127,5</t>
  </si>
  <si>
    <t>87,5</t>
  </si>
  <si>
    <t>95,0</t>
  </si>
  <si>
    <t>145,0</t>
  </si>
  <si>
    <t>170,0</t>
  </si>
  <si>
    <t>ВЕСОВАЯ КАТЕГОРИЯ   75</t>
  </si>
  <si>
    <t>Рвачёв Андрей</t>
  </si>
  <si>
    <t>Открытая (26.06.1990)/30</t>
  </si>
  <si>
    <t>74,30</t>
  </si>
  <si>
    <t>120,0</t>
  </si>
  <si>
    <t>107,5</t>
  </si>
  <si>
    <t>165,0</t>
  </si>
  <si>
    <t>ВЕСОВАЯ КАТЕГОРИЯ   82.5</t>
  </si>
  <si>
    <t>Скалазубов Сергей</t>
  </si>
  <si>
    <t>Открытая (27.05.1996)/24</t>
  </si>
  <si>
    <t>81,10</t>
  </si>
  <si>
    <t>130,0</t>
  </si>
  <si>
    <t>137,5</t>
  </si>
  <si>
    <t>142,5</t>
  </si>
  <si>
    <t>210,0</t>
  </si>
  <si>
    <t>Зотов Иван</t>
  </si>
  <si>
    <t>88,80</t>
  </si>
  <si>
    <t>105,0</t>
  </si>
  <si>
    <t>85,0</t>
  </si>
  <si>
    <t>125,0</t>
  </si>
  <si>
    <t>135,0</t>
  </si>
  <si>
    <t>Назаров Алексей</t>
  </si>
  <si>
    <t>Открытая (28.01.1990)/30</t>
  </si>
  <si>
    <t>98,80</t>
  </si>
  <si>
    <t>215,0</t>
  </si>
  <si>
    <t>140,0</t>
  </si>
  <si>
    <t>285,0</t>
  </si>
  <si>
    <t>225,0</t>
  </si>
  <si>
    <t>650,0</t>
  </si>
  <si>
    <t>379,7950</t>
  </si>
  <si>
    <t>82.5</t>
  </si>
  <si>
    <t>557,5</t>
  </si>
  <si>
    <t>363,4064</t>
  </si>
  <si>
    <t>56</t>
  </si>
  <si>
    <t>372,5</t>
  </si>
  <si>
    <t>336,8704</t>
  </si>
  <si>
    <t>Жаденов Владимир</t>
  </si>
  <si>
    <t>Открытая (01.06.1987)/33</t>
  </si>
  <si>
    <t>74,20</t>
  </si>
  <si>
    <t>310,0</t>
  </si>
  <si>
    <t>320,0</t>
  </si>
  <si>
    <t>255,0</t>
  </si>
  <si>
    <t>Выпов Сергей</t>
  </si>
  <si>
    <t>Открытая (17.08.1981)/39</t>
  </si>
  <si>
    <t>99,50</t>
  </si>
  <si>
    <t>305,0</t>
  </si>
  <si>
    <t>ВЕСОВАЯ КАТЕГОРИЯ   52</t>
  </si>
  <si>
    <t>Сорокина Валерия</t>
  </si>
  <si>
    <t>52,00</t>
  </si>
  <si>
    <t>102,5</t>
  </si>
  <si>
    <t>72,5</t>
  </si>
  <si>
    <t>Лазарева Анна</t>
  </si>
  <si>
    <t>59,20</t>
  </si>
  <si>
    <t>52,5</t>
  </si>
  <si>
    <t>55,0</t>
  </si>
  <si>
    <t>57,5</t>
  </si>
  <si>
    <t>Подобряева Наталья</t>
  </si>
  <si>
    <t>74,00</t>
  </si>
  <si>
    <t>67,5</t>
  </si>
  <si>
    <t>152,5</t>
  </si>
  <si>
    <t>Малиновская Виктория</t>
  </si>
  <si>
    <t>Открытая (05.10.1983)/36</t>
  </si>
  <si>
    <t>71,55</t>
  </si>
  <si>
    <t xml:space="preserve">Волжский/Волгоградская область </t>
  </si>
  <si>
    <t>112,5</t>
  </si>
  <si>
    <t>Шмадченко Александр</t>
  </si>
  <si>
    <t>Открытая (26.12.1986)/33</t>
  </si>
  <si>
    <t>89,50</t>
  </si>
  <si>
    <t>167,5</t>
  </si>
  <si>
    <t>Борчанинов Юрий</t>
  </si>
  <si>
    <t>Открытая (17.05.1990)/30</t>
  </si>
  <si>
    <t>99,90</t>
  </si>
  <si>
    <t>162,5</t>
  </si>
  <si>
    <t>172,5</t>
  </si>
  <si>
    <t>ВЕСОВАЯ КАТЕГОРИЯ   125</t>
  </si>
  <si>
    <t>Тепляков Евгений</t>
  </si>
  <si>
    <t>Мастера 50-59 (01.09.1968)/51</t>
  </si>
  <si>
    <t>114,80</t>
  </si>
  <si>
    <t xml:space="preserve">Урюпинск/Волгоградская область </t>
  </si>
  <si>
    <t>Результат</t>
  </si>
  <si>
    <t>ВЕСОВАЯ КАТЕГОРИЯ   67.5</t>
  </si>
  <si>
    <t>Сизенцев Константин</t>
  </si>
  <si>
    <t>67,00</t>
  </si>
  <si>
    <t>Заверюха Евгений</t>
  </si>
  <si>
    <t>Открытая (11.09.1980)/39</t>
  </si>
  <si>
    <t>67,20</t>
  </si>
  <si>
    <t>Суровцев Сергей</t>
  </si>
  <si>
    <t>Открытая (28.05.1985)/35</t>
  </si>
  <si>
    <t>67,50</t>
  </si>
  <si>
    <t>Айвазян Размик</t>
  </si>
  <si>
    <t>Мастера 60-69 (28.12.1957)/62</t>
  </si>
  <si>
    <t>66,40</t>
  </si>
  <si>
    <t>Хачатрян Андраник</t>
  </si>
  <si>
    <t>Открытая (24.02.1990)/30</t>
  </si>
  <si>
    <t>74,60</t>
  </si>
  <si>
    <t xml:space="preserve">Волгоград/Волгоградская область </t>
  </si>
  <si>
    <t>Пономарёв Кирилл</t>
  </si>
  <si>
    <t>81,80</t>
  </si>
  <si>
    <t xml:space="preserve">Харабали/Астраханская область </t>
  </si>
  <si>
    <t>Гречишкин Вячеслав</t>
  </si>
  <si>
    <t>81,70</t>
  </si>
  <si>
    <t>Открытая (30.09.2003)/16</t>
  </si>
  <si>
    <t>Брагилев Алексей</t>
  </si>
  <si>
    <t>Открытая (04.07.1989)/31</t>
  </si>
  <si>
    <t>Двизов Юрий</t>
  </si>
  <si>
    <t>Мастера 70-79 (05.02.1947)/73</t>
  </si>
  <si>
    <t>75,60</t>
  </si>
  <si>
    <t>Арутюнян Норик</t>
  </si>
  <si>
    <t>Открытая (11.12.1989)/30</t>
  </si>
  <si>
    <t>89,30</t>
  </si>
  <si>
    <t>175,0</t>
  </si>
  <si>
    <t xml:space="preserve">Долгов А. </t>
  </si>
  <si>
    <t>Бухарев Андрей</t>
  </si>
  <si>
    <t>Открытая (27.09.1991)/28</t>
  </si>
  <si>
    <t>98,70</t>
  </si>
  <si>
    <t>157,5</t>
  </si>
  <si>
    <t>Нестеров Никита</t>
  </si>
  <si>
    <t>Открытая (29.07.1982)/38</t>
  </si>
  <si>
    <t>94,80</t>
  </si>
  <si>
    <t xml:space="preserve">Светлый Яр/Волгоградская область </t>
  </si>
  <si>
    <t>Кувакин Владимир</t>
  </si>
  <si>
    <t>Открытая (24.01.1987)/33</t>
  </si>
  <si>
    <t>117,50</t>
  </si>
  <si>
    <t>108,5735</t>
  </si>
  <si>
    <t>107,5462</t>
  </si>
  <si>
    <t>92,3025</t>
  </si>
  <si>
    <t>2</t>
  </si>
  <si>
    <t>-</t>
  </si>
  <si>
    <t>220,0</t>
  </si>
  <si>
    <t>Дамбинов Александр</t>
  </si>
  <si>
    <t>Мастера 80+ (12.03.1936)/84</t>
  </si>
  <si>
    <t>59,60</t>
  </si>
  <si>
    <t>Бондаренко Никита</t>
  </si>
  <si>
    <t>Открытая (22.09.1987)/32</t>
  </si>
  <si>
    <t>96,30</t>
  </si>
  <si>
    <t>Самойлов Сергей</t>
  </si>
  <si>
    <t>Мастера 50-59 (02.12.1966)/53</t>
  </si>
  <si>
    <t>ВЕСОВАЯ КАТЕГОРИЯ   110</t>
  </si>
  <si>
    <t>Киселев Алексей</t>
  </si>
  <si>
    <t>Открытая (27.04.1974)/46</t>
  </si>
  <si>
    <t>103,80</t>
  </si>
  <si>
    <t xml:space="preserve">Астрахань/Астраханская область </t>
  </si>
  <si>
    <t>Мастера 40-49 (27.04.1974)/46</t>
  </si>
  <si>
    <t>Мастера 40-49 (26.08.1977)/43</t>
  </si>
  <si>
    <t>Яблонских Светлана</t>
  </si>
  <si>
    <t>Мастера 40-49 (18.12.1979)/40</t>
  </si>
  <si>
    <t>Ломанов Александр</t>
  </si>
  <si>
    <t>Открытая (18.09.1985)/34</t>
  </si>
  <si>
    <t>76,10</t>
  </si>
  <si>
    <t>Борк Николай</t>
  </si>
  <si>
    <t>Открытая (13.11.1991)/28</t>
  </si>
  <si>
    <t>86,30</t>
  </si>
  <si>
    <t>Балычев Сергей</t>
  </si>
  <si>
    <t>Мастера 40-49 (28.04.1980)/40</t>
  </si>
  <si>
    <t>89,10</t>
  </si>
  <si>
    <t>235,0</t>
  </si>
  <si>
    <t>Чухряев Михаил</t>
  </si>
  <si>
    <t>Открытая (31.07.1982)/38</t>
  </si>
  <si>
    <t>117,70</t>
  </si>
  <si>
    <t>247,5</t>
  </si>
  <si>
    <t>Никитина Ольга</t>
  </si>
  <si>
    <t>Открытая (07.09.1984)/35</t>
  </si>
  <si>
    <t>62,40</t>
  </si>
  <si>
    <t>Весовая категория</t>
  </si>
  <si>
    <t>265,0</t>
  </si>
  <si>
    <t>252,5</t>
  </si>
  <si>
    <t>242,5</t>
  </si>
  <si>
    <t>109,30</t>
  </si>
  <si>
    <t>Сухов Дмитрий</t>
  </si>
  <si>
    <t>Открытая (09.06.1975)/45</t>
  </si>
  <si>
    <t>227,5</t>
  </si>
  <si>
    <t>88,60</t>
  </si>
  <si>
    <t>Открытая (17.07.1985)/35</t>
  </si>
  <si>
    <t>Бирюков Сергей</t>
  </si>
  <si>
    <t>51,90</t>
  </si>
  <si>
    <t>Эликашвили Марина</t>
  </si>
  <si>
    <t>330,0</t>
  </si>
  <si>
    <t>315,0</t>
  </si>
  <si>
    <t>118,50</t>
  </si>
  <si>
    <t>Открытая (09.06.1993)/27</t>
  </si>
  <si>
    <t>Городжий Дмитрий</t>
  </si>
  <si>
    <t>400,0</t>
  </si>
  <si>
    <t>385,0</t>
  </si>
  <si>
    <t>365,0</t>
  </si>
  <si>
    <t>123,30</t>
  </si>
  <si>
    <t>Хмелев Александр</t>
  </si>
  <si>
    <t>Открытая (19.09.1971)/48</t>
  </si>
  <si>
    <t>280,0</t>
  </si>
  <si>
    <t>275,0</t>
  </si>
  <si>
    <t>101,20</t>
  </si>
  <si>
    <t>Открытая (18.09.1989)/30</t>
  </si>
  <si>
    <t>Васильев Дмитрий</t>
  </si>
  <si>
    <t>98,50</t>
  </si>
  <si>
    <t>Мастера 60+ (23.02.1959)/61</t>
  </si>
  <si>
    <t>Решетов Николай</t>
  </si>
  <si>
    <t>Судариков Владимир</t>
  </si>
  <si>
    <t>Подъем на бицепс</t>
  </si>
  <si>
    <t>65,0</t>
  </si>
  <si>
    <t>Семенюк Дмитрий</t>
  </si>
  <si>
    <t>51,50</t>
  </si>
  <si>
    <t>30,0</t>
  </si>
  <si>
    <t>32,5</t>
  </si>
  <si>
    <t>37,5</t>
  </si>
  <si>
    <t xml:space="preserve">Ханин Ю. </t>
  </si>
  <si>
    <t>Хачатрян Нарек</t>
  </si>
  <si>
    <t>Открытая (11.10.1994)/25</t>
  </si>
  <si>
    <t>59,40</t>
  </si>
  <si>
    <t>47,5</t>
  </si>
  <si>
    <t>Ревин Владислав</t>
  </si>
  <si>
    <t>72,60</t>
  </si>
  <si>
    <t>62,5</t>
  </si>
  <si>
    <t>Ханин Юрий</t>
  </si>
  <si>
    <t>Открытая (28.06.1988)/32</t>
  </si>
  <si>
    <t>89,00</t>
  </si>
  <si>
    <t>60</t>
  </si>
  <si>
    <t>44,1551</t>
  </si>
  <si>
    <t>75</t>
  </si>
  <si>
    <t>43,2031</t>
  </si>
  <si>
    <t>42,1330</t>
  </si>
  <si>
    <t>Национальный Чемпионат
СПР Жим лежа в однопетельной софт экипировке ДК
Волжский/Волгоградская область, 29 августа 2020 года</t>
  </si>
  <si>
    <t>Национальный Чемпионат
СПР Жим лежа в однопетельной софт экипировке
Волжский/Волгоградская область, 29 августа 2020 года</t>
  </si>
  <si>
    <t>Национальный Чемпионат
СПР Жим лежа в многопетельной софт экипировке ДК
Волжский/Волгоградская область, 29 августа 2020 года</t>
  </si>
  <si>
    <t>Национальный Чемпионат
СПР Жим лежа в многопетельной софт экипировке
Волжский/Волгоградская область, 29 августа 2020 года</t>
  </si>
  <si>
    <t>Национальный Чемпионат
СПР Строгий подъем штанги на бицепс ДК
Волжский/Волгоградская область, 29 августа 2020 года</t>
  </si>
  <si>
    <t>Юноши 16-17 (07.10.2003)/16</t>
  </si>
  <si>
    <t>Девушки 18-19 (28.12.2000)/19</t>
  </si>
  <si>
    <t>Девушки 18-19 (27.12.2001)/18</t>
  </si>
  <si>
    <t>Юноши 18-19 (02.12.2000)/19</t>
  </si>
  <si>
    <t>Юноши 16-17 (30.09.2003)/16</t>
  </si>
  <si>
    <t>Юноши 18-19 (12.04.2001)/19</t>
  </si>
  <si>
    <t>Юниорки 20-23 (26.08.1998)/22</t>
  </si>
  <si>
    <t>Мастера 40-49 (09.06.1975)/45</t>
  </si>
  <si>
    <t>Мастера 40-49 (16.07.1976)/44</t>
  </si>
  <si>
    <t>Мастера 40-49 (19.09.1971)/48</t>
  </si>
  <si>
    <t>Юноши 13-19 (04.01.2005)/15</t>
  </si>
  <si>
    <t>Юниоры 20-23 (03.09.1997)/22</t>
  </si>
  <si>
    <t>Юноши 13-19 (12.04.2001)/19</t>
  </si>
  <si>
    <t>Хачатрян А.</t>
  </si>
  <si>
    <t>Киселев А.</t>
  </si>
  <si>
    <t>Гузев П.</t>
  </si>
  <si>
    <t>Козырев О.</t>
  </si>
  <si>
    <t>Михайловка/Волгоградская область</t>
  </si>
  <si>
    <t xml:space="preserve">Элиста/Республика Калмыкия </t>
  </si>
  <si>
    <t>Национальный Чемпионат
IPO Становая тяга в экипировке
Волжский/Волгоградская область, 29 августа 2020 года</t>
  </si>
  <si>
    <t>Национальный Чемпионат
GPA Становая тяга без экипировки
Волжский/Волгоградская область, 29 августа 2020 года</t>
  </si>
  <si>
    <t>Национальный Чемпионат
GPA Становая тяга без экипировки ДК
Волжский/Волгоградская область, 29 августа 2020 года</t>
  </si>
  <si>
    <t>Национальный Чемпионат
GPA Жим лежа без экипировки
Волжский/Волгоградская область, 29 августа 2020 года</t>
  </si>
  <si>
    <t>Национальный Чемпионат
GPA Жим лежа без экипировки ДК
Волжский/Волгоградская область, 29 августа 2020 года</t>
  </si>
  <si>
    <t>Национальный Чемпионат
GPA Пауэрлифтинг в бинтах
Волжский/Волгоградская область, 29 августа 2020 года</t>
  </si>
  <si>
    <t>Национальный Чемпионат
GPA Пауэрлифтинг в бинтах ДК
Волжский/Волгоградская область, 29 августа 2020 года</t>
  </si>
  <si>
    <t>Национальный Чемпионат
GPA Пауэрлифтинг без экипировки
Волжский/Волгоградская область, 29 августа 2020 года</t>
  </si>
  <si>
    <t>Национальный Чемпионат
GPA Пауэрлифтинг без экипировки ДК
Волжский/Волгоградская область, 29 августа 2020 года</t>
  </si>
  <si>
    <t>Карягин Е.</t>
  </si>
  <si>
    <t>Жадёнов В.</t>
  </si>
  <si>
    <t>Чередниченко А.</t>
  </si>
  <si>
    <t>Валитов Р.</t>
  </si>
  <si>
    <t>Двизов Ю.</t>
  </si>
  <si>
    <t xml:space="preserve">Михайловка/Волгоградская область </t>
  </si>
  <si>
    <t>Макеев А.</t>
  </si>
  <si>
    <t>Долгов Э.</t>
  </si>
  <si>
    <t>Шмадченко А.</t>
  </si>
  <si>
    <t>Жаденов В.</t>
  </si>
  <si>
    <t>Светлый Яр/Волгоградская область</t>
  </si>
  <si>
    <t>Пересветов В.</t>
  </si>
  <si>
    <t>Решетов Н.</t>
  </si>
  <si>
    <t>Морозов С.</t>
  </si>
  <si>
    <t>Сухов В.</t>
  </si>
  <si>
    <t>Шелестов В.</t>
  </si>
  <si>
    <t>Котельниково/Волгоградская область</t>
  </si>
  <si>
    <t>Настынов И.</t>
  </si>
  <si>
    <t>Слепцов М.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</si>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</sst>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/>
  <dimension ref="A1:U35"/>
  <sheetViews>
    <sheetView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17.83203125" style="6" bestFit="1" customWidth="1"/>
    <col min="3" max="3" width="27.6640625" style="6" bestFit="1" customWidth="1"/>
    <col min="4" max="4" width="21.5" style="6" bestFit="1" customWidth="1"/>
    <col min="5" max="5" width="10.5" style="6" bestFit="1" customWidth="1"/>
    <col min="6" max="6" width="37" style="6" customWidth="1"/>
    <col min="7" max="9" width="5.5" style="7" bestFit="1" customWidth="1"/>
    <col min="10" max="10" width="4.83203125" style="7" bestFit="1" customWidth="1"/>
    <col min="11" max="13" width="5.5" style="7" bestFit="1" customWidth="1"/>
    <col min="14" max="14" width="4.83203125" style="7" bestFit="1" customWidth="1"/>
    <col min="15" max="17" width="5.5" style="7" bestFit="1" customWidth="1"/>
    <col min="18" max="18" width="4.83203125" style="7" bestFit="1" customWidth="1"/>
    <col min="19" max="19" width="7.83203125" style="7" bestFit="1" customWidth="1"/>
    <col min="20" max="20" width="8.5" style="7" bestFit="1" customWidth="1"/>
    <col min="21" max="21" width="30.1640625" style="6" bestFit="1" customWidth="1"/>
    <col min="22" max="16384" width="9.1640625" style="3"/>
  </cols>
  <sheetData>
    <row r="1" spans="1:21" s="2" customFormat="1" ht="29" customHeight="1">
      <c r="A1" s="65" t="s">
        <v>332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62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48</v>
      </c>
      <c r="B3" s="77" t="s">
        <v>0</v>
      </c>
      <c r="C3" s="74" t="s">
        <v>5</v>
      </c>
      <c r="D3" s="74" t="s">
        <v>6</v>
      </c>
      <c r="E3" s="76" t="s">
        <v>8</v>
      </c>
      <c r="F3" s="76" t="s">
        <v>7</v>
      </c>
      <c r="G3" s="76" t="s">
        <v>9</v>
      </c>
      <c r="H3" s="76"/>
      <c r="I3" s="76"/>
      <c r="J3" s="76"/>
      <c r="K3" s="76" t="s">
        <v>10</v>
      </c>
      <c r="L3" s="76"/>
      <c r="M3" s="76"/>
      <c r="N3" s="76"/>
      <c r="O3" s="76" t="s">
        <v>11</v>
      </c>
      <c r="P3" s="76"/>
      <c r="Q3" s="76"/>
      <c r="R3" s="76"/>
      <c r="S3" s="76" t="s">
        <v>1</v>
      </c>
      <c r="T3" s="76" t="s">
        <v>3</v>
      </c>
      <c r="U3" s="59" t="s">
        <v>2</v>
      </c>
    </row>
    <row r="4" spans="1:21" s="1" customFormat="1" ht="21" customHeight="1" thickBot="1">
      <c r="A4" s="73"/>
      <c r="B4" s="78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5"/>
      <c r="T4" s="75"/>
      <c r="U4" s="60"/>
    </row>
    <row r="5" spans="1:21" ht="16">
      <c r="A5" s="61" t="s">
        <v>49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1">
      <c r="A6" s="11" t="s">
        <v>46</v>
      </c>
      <c r="B6" s="8" t="s">
        <v>50</v>
      </c>
      <c r="C6" s="8" t="s">
        <v>51</v>
      </c>
      <c r="D6" s="8" t="s">
        <v>52</v>
      </c>
      <c r="E6" s="8" t="str">
        <f>"1,1865"</f>
        <v>1,1865</v>
      </c>
      <c r="F6" s="8" t="s">
        <v>53</v>
      </c>
      <c r="G6" s="9" t="s">
        <v>54</v>
      </c>
      <c r="H6" s="9" t="s">
        <v>55</v>
      </c>
      <c r="I6" s="11"/>
      <c r="J6" s="11"/>
      <c r="K6" s="9" t="s">
        <v>56</v>
      </c>
      <c r="L6" s="10" t="s">
        <v>57</v>
      </c>
      <c r="M6" s="10" t="s">
        <v>57</v>
      </c>
      <c r="N6" s="11"/>
      <c r="O6" s="9" t="s">
        <v>58</v>
      </c>
      <c r="P6" s="11"/>
      <c r="Q6" s="11"/>
      <c r="R6" s="11"/>
      <c r="S6" s="11" t="str">
        <f>"207,5"</f>
        <v>207,5</v>
      </c>
      <c r="T6" s="11" t="str">
        <f>"246,1987"</f>
        <v>246,1987</v>
      </c>
      <c r="U6" s="8" t="s">
        <v>333</v>
      </c>
    </row>
    <row r="7" spans="1:21">
      <c r="B7" s="6" t="s">
        <v>47</v>
      </c>
    </row>
    <row r="8" spans="1:21" ht="16">
      <c r="A8" s="63" t="s">
        <v>59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1">
      <c r="A9" s="11" t="s">
        <v>46</v>
      </c>
      <c r="B9" s="8" t="s">
        <v>60</v>
      </c>
      <c r="C9" s="8" t="s">
        <v>61</v>
      </c>
      <c r="D9" s="8" t="s">
        <v>62</v>
      </c>
      <c r="E9" s="8" t="str">
        <f>"1,0065"</f>
        <v>1,0065</v>
      </c>
      <c r="F9" s="8" t="s">
        <v>176</v>
      </c>
      <c r="G9" s="9" t="s">
        <v>63</v>
      </c>
      <c r="H9" s="9" t="s">
        <v>64</v>
      </c>
      <c r="I9" s="10" t="s">
        <v>65</v>
      </c>
      <c r="J9" s="11"/>
      <c r="K9" s="10" t="s">
        <v>66</v>
      </c>
      <c r="L9" s="9" t="s">
        <v>66</v>
      </c>
      <c r="M9" s="10" t="s">
        <v>67</v>
      </c>
      <c r="N9" s="11"/>
      <c r="O9" s="9" t="s">
        <v>68</v>
      </c>
      <c r="P9" s="9" t="s">
        <v>69</v>
      </c>
      <c r="Q9" s="11"/>
      <c r="R9" s="11"/>
      <c r="S9" s="11" t="str">
        <f>"225,0"</f>
        <v>225,0</v>
      </c>
      <c r="T9" s="11" t="str">
        <f>"226,4625"</f>
        <v>226,4625</v>
      </c>
      <c r="U9" s="8" t="s">
        <v>334</v>
      </c>
    </row>
    <row r="10" spans="1:21">
      <c r="B10" s="6" t="s">
        <v>47</v>
      </c>
    </row>
    <row r="11" spans="1:21" ht="16">
      <c r="A11" s="63" t="s">
        <v>70</v>
      </c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1">
      <c r="A12" s="11" t="s">
        <v>46</v>
      </c>
      <c r="B12" s="8" t="s">
        <v>71</v>
      </c>
      <c r="C12" s="8" t="s">
        <v>72</v>
      </c>
      <c r="D12" s="8" t="s">
        <v>73</v>
      </c>
      <c r="E12" s="8" t="str">
        <f>"0,9043"</f>
        <v>0,9043</v>
      </c>
      <c r="F12" s="8" t="s">
        <v>322</v>
      </c>
      <c r="G12" s="9" t="s">
        <v>74</v>
      </c>
      <c r="H12" s="9" t="s">
        <v>75</v>
      </c>
      <c r="I12" s="10" t="s">
        <v>76</v>
      </c>
      <c r="J12" s="11"/>
      <c r="K12" s="9" t="s">
        <v>77</v>
      </c>
      <c r="L12" s="9" t="s">
        <v>78</v>
      </c>
      <c r="M12" s="10" t="s">
        <v>68</v>
      </c>
      <c r="N12" s="11"/>
      <c r="O12" s="9" t="s">
        <v>79</v>
      </c>
      <c r="P12" s="9" t="s">
        <v>32</v>
      </c>
      <c r="Q12" s="10" t="s">
        <v>80</v>
      </c>
      <c r="R12" s="11"/>
      <c r="S12" s="11" t="str">
        <f>"372,5"</f>
        <v>372,5</v>
      </c>
      <c r="T12" s="11" t="str">
        <f>"336,8704"</f>
        <v>336,8704</v>
      </c>
      <c r="U12" s="8" t="s">
        <v>335</v>
      </c>
    </row>
    <row r="13" spans="1:21">
      <c r="B13" s="6" t="s">
        <v>47</v>
      </c>
    </row>
    <row r="14" spans="1:21" ht="16">
      <c r="A14" s="63" t="s">
        <v>81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spans="1:21">
      <c r="A15" s="11" t="s">
        <v>46</v>
      </c>
      <c r="B15" s="8" t="s">
        <v>82</v>
      </c>
      <c r="C15" s="8" t="s">
        <v>83</v>
      </c>
      <c r="D15" s="8" t="s">
        <v>84</v>
      </c>
      <c r="E15" s="8" t="str">
        <f>"0,6934"</f>
        <v>0,6934</v>
      </c>
      <c r="F15" s="8" t="s">
        <v>176</v>
      </c>
      <c r="G15" s="9" t="s">
        <v>69</v>
      </c>
      <c r="H15" s="10" t="s">
        <v>85</v>
      </c>
      <c r="I15" s="9" t="s">
        <v>85</v>
      </c>
      <c r="J15" s="11"/>
      <c r="K15" s="9" t="s">
        <v>58</v>
      </c>
      <c r="L15" s="9" t="s">
        <v>68</v>
      </c>
      <c r="M15" s="10" t="s">
        <v>86</v>
      </c>
      <c r="N15" s="11"/>
      <c r="O15" s="9" t="s">
        <v>32</v>
      </c>
      <c r="P15" s="10" t="s">
        <v>87</v>
      </c>
      <c r="Q15" s="9" t="s">
        <v>87</v>
      </c>
      <c r="R15" s="11"/>
      <c r="S15" s="11" t="str">
        <f>"385,0"</f>
        <v>385,0</v>
      </c>
      <c r="T15" s="11" t="str">
        <f>"266,9398"</f>
        <v>266,9398</v>
      </c>
      <c r="U15" s="8" t="s">
        <v>336</v>
      </c>
    </row>
    <row r="16" spans="1:21">
      <c r="B16" s="6" t="s">
        <v>47</v>
      </c>
    </row>
    <row r="17" spans="1:21" ht="16">
      <c r="A17" s="63" t="s">
        <v>88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</row>
    <row r="18" spans="1:21">
      <c r="A18" s="11" t="s">
        <v>46</v>
      </c>
      <c r="B18" s="8" t="s">
        <v>89</v>
      </c>
      <c r="C18" s="8" t="s">
        <v>90</v>
      </c>
      <c r="D18" s="8" t="s">
        <v>91</v>
      </c>
      <c r="E18" s="8" t="str">
        <f>"0,6518"</f>
        <v>0,6518</v>
      </c>
      <c r="F18" s="8" t="s">
        <v>176</v>
      </c>
      <c r="G18" s="10" t="s">
        <v>19</v>
      </c>
      <c r="H18" s="9" t="s">
        <v>28</v>
      </c>
      <c r="I18" s="10" t="s">
        <v>29</v>
      </c>
      <c r="J18" s="11"/>
      <c r="K18" s="9" t="s">
        <v>92</v>
      </c>
      <c r="L18" s="9" t="s">
        <v>93</v>
      </c>
      <c r="M18" s="10" t="s">
        <v>94</v>
      </c>
      <c r="N18" s="11"/>
      <c r="O18" s="10" t="s">
        <v>95</v>
      </c>
      <c r="P18" s="9" t="s">
        <v>95</v>
      </c>
      <c r="Q18" s="9" t="s">
        <v>34</v>
      </c>
      <c r="R18" s="11"/>
      <c r="S18" s="11" t="str">
        <f>"557,5"</f>
        <v>557,5</v>
      </c>
      <c r="T18" s="11" t="str">
        <f>"363,4064"</f>
        <v>363,4064</v>
      </c>
      <c r="U18" s="8" t="s">
        <v>337</v>
      </c>
    </row>
    <row r="19" spans="1:21">
      <c r="B19" s="6" t="s">
        <v>47</v>
      </c>
    </row>
    <row r="20" spans="1:21" ht="16">
      <c r="A20" s="63" t="s">
        <v>12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spans="1:21">
      <c r="A21" s="11" t="s">
        <v>46</v>
      </c>
      <c r="B21" s="8" t="s">
        <v>96</v>
      </c>
      <c r="C21" s="8" t="s">
        <v>305</v>
      </c>
      <c r="D21" s="8" t="s">
        <v>97</v>
      </c>
      <c r="E21" s="8" t="str">
        <f>"0,6165"</f>
        <v>0,6165</v>
      </c>
      <c r="F21" s="8" t="s">
        <v>176</v>
      </c>
      <c r="G21" s="10" t="s">
        <v>98</v>
      </c>
      <c r="H21" s="9" t="s">
        <v>98</v>
      </c>
      <c r="I21" s="9" t="s">
        <v>74</v>
      </c>
      <c r="J21" s="11"/>
      <c r="K21" s="9" t="s">
        <v>99</v>
      </c>
      <c r="L21" s="9" t="s">
        <v>78</v>
      </c>
      <c r="M21" s="10" t="s">
        <v>68</v>
      </c>
      <c r="N21" s="11"/>
      <c r="O21" s="10" t="s">
        <v>100</v>
      </c>
      <c r="P21" s="9" t="s">
        <v>100</v>
      </c>
      <c r="Q21" s="9" t="s">
        <v>101</v>
      </c>
      <c r="R21" s="11"/>
      <c r="S21" s="11" t="str">
        <f>"345,0"</f>
        <v>345,0</v>
      </c>
      <c r="T21" s="11" t="str">
        <f>"212,6753"</f>
        <v>212,6753</v>
      </c>
      <c r="U21" s="8" t="s">
        <v>336</v>
      </c>
    </row>
    <row r="22" spans="1:21">
      <c r="B22" s="6" t="s">
        <v>47</v>
      </c>
    </row>
    <row r="23" spans="1:21" ht="16">
      <c r="A23" s="63" t="s">
        <v>24</v>
      </c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</row>
    <row r="24" spans="1:21">
      <c r="A24" s="11" t="s">
        <v>46</v>
      </c>
      <c r="B24" s="8" t="s">
        <v>102</v>
      </c>
      <c r="C24" s="8" t="s">
        <v>103</v>
      </c>
      <c r="D24" s="8" t="s">
        <v>104</v>
      </c>
      <c r="E24" s="8" t="str">
        <f>"0,5843"</f>
        <v>0,5843</v>
      </c>
      <c r="F24" s="8" t="s">
        <v>176</v>
      </c>
      <c r="G24" s="9" t="s">
        <v>28</v>
      </c>
      <c r="H24" s="9" t="s">
        <v>30</v>
      </c>
      <c r="I24" s="9" t="s">
        <v>105</v>
      </c>
      <c r="J24" s="11"/>
      <c r="K24" s="9" t="s">
        <v>106</v>
      </c>
      <c r="L24" s="9" t="s">
        <v>31</v>
      </c>
      <c r="M24" s="10" t="s">
        <v>33</v>
      </c>
      <c r="N24" s="11"/>
      <c r="O24" s="9" t="s">
        <v>18</v>
      </c>
      <c r="P24" s="9" t="s">
        <v>107</v>
      </c>
      <c r="Q24" s="10" t="s">
        <v>23</v>
      </c>
      <c r="R24" s="11"/>
      <c r="S24" s="11" t="str">
        <f>"650,0"</f>
        <v>650,0</v>
      </c>
      <c r="T24" s="11" t="str">
        <f>"379,7950"</f>
        <v>379,7950</v>
      </c>
      <c r="U24" s="8" t="s">
        <v>352</v>
      </c>
    </row>
    <row r="25" spans="1:21">
      <c r="B25" s="6" t="s">
        <v>47</v>
      </c>
    </row>
    <row r="26" spans="1:21">
      <c r="B26" s="6" t="s">
        <v>47</v>
      </c>
    </row>
    <row r="27" spans="1:21">
      <c r="B27" s="6" t="s">
        <v>47</v>
      </c>
    </row>
    <row r="28" spans="1:21" ht="18">
      <c r="B28" s="12" t="s">
        <v>37</v>
      </c>
      <c r="C28" s="12"/>
      <c r="G28" s="3"/>
      <c r="H28" s="3"/>
      <c r="I28" s="3"/>
      <c r="J28" s="3"/>
      <c r="M28" s="6"/>
      <c r="N28" s="3"/>
      <c r="O28" s="3"/>
      <c r="P28" s="3"/>
      <c r="Q28" s="3"/>
      <c r="R28" s="3"/>
      <c r="S28" s="3"/>
      <c r="T28" s="3"/>
      <c r="U28" s="3"/>
    </row>
    <row r="29" spans="1:21" ht="16">
      <c r="B29" s="13" t="s">
        <v>38</v>
      </c>
      <c r="C29" s="13"/>
      <c r="G29" s="3"/>
      <c r="H29" s="3"/>
      <c r="I29" s="3"/>
      <c r="J29" s="3"/>
    </row>
    <row r="30" spans="1:21" ht="14">
      <c r="B30" s="14"/>
      <c r="C30" s="14" t="s">
        <v>39</v>
      </c>
      <c r="G30" s="3"/>
      <c r="H30" s="3"/>
      <c r="I30" s="3"/>
      <c r="J30" s="3"/>
    </row>
    <row r="31" spans="1:21" ht="14">
      <c r="B31" s="5" t="s">
        <v>40</v>
      </c>
      <c r="C31" s="5" t="s">
        <v>41</v>
      </c>
      <c r="D31" s="5" t="s">
        <v>244</v>
      </c>
      <c r="E31" s="5" t="s">
        <v>42</v>
      </c>
      <c r="F31" s="5" t="s">
        <v>43</v>
      </c>
      <c r="G31" s="3"/>
      <c r="H31" s="3"/>
      <c r="I31" s="3"/>
      <c r="J31" s="3"/>
    </row>
    <row r="32" spans="1:21">
      <c r="B32" s="6" t="s">
        <v>102</v>
      </c>
      <c r="C32" s="6" t="s">
        <v>39</v>
      </c>
      <c r="D32" s="7" t="s">
        <v>45</v>
      </c>
      <c r="E32" s="7" t="s">
        <v>109</v>
      </c>
      <c r="F32" s="7" t="s">
        <v>110</v>
      </c>
      <c r="G32" s="3"/>
      <c r="H32" s="3"/>
      <c r="I32" s="3"/>
      <c r="J32" s="3"/>
    </row>
    <row r="33" spans="2:10">
      <c r="B33" s="6" t="s">
        <v>89</v>
      </c>
      <c r="C33" s="6" t="s">
        <v>39</v>
      </c>
      <c r="D33" s="7" t="s">
        <v>111</v>
      </c>
      <c r="E33" s="7" t="s">
        <v>112</v>
      </c>
      <c r="F33" s="7" t="s">
        <v>113</v>
      </c>
      <c r="G33" s="3"/>
      <c r="H33" s="3"/>
      <c r="I33" s="3"/>
      <c r="J33" s="3"/>
    </row>
    <row r="34" spans="2:10">
      <c r="B34" s="6" t="s">
        <v>71</v>
      </c>
      <c r="C34" s="6" t="s">
        <v>39</v>
      </c>
      <c r="D34" s="7" t="s">
        <v>114</v>
      </c>
      <c r="E34" s="7" t="s">
        <v>115</v>
      </c>
      <c r="F34" s="7" t="s">
        <v>116</v>
      </c>
      <c r="G34" s="3"/>
      <c r="H34" s="3"/>
      <c r="I34" s="3"/>
      <c r="J34" s="3"/>
    </row>
    <row r="35" spans="2:10">
      <c r="B35" s="6" t="s">
        <v>47</v>
      </c>
    </row>
  </sheetData>
  <mergeCells count="20">
    <mergeCell ref="A14:T14"/>
    <mergeCell ref="A17:T17"/>
    <mergeCell ref="A20:T20"/>
    <mergeCell ref="A23:T23"/>
    <mergeCell ref="B3:B4"/>
    <mergeCell ref="S3:S4"/>
    <mergeCell ref="T3:T4"/>
    <mergeCell ref="U3:U4"/>
    <mergeCell ref="A5:T5"/>
    <mergeCell ref="A8:T8"/>
    <mergeCell ref="A11:T1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53D7-A8EE-7D4E-AD5B-B16244D54D24}"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30" bestFit="1" customWidth="1"/>
    <col min="2" max="2" width="19.83203125" style="29" bestFit="1" customWidth="1"/>
    <col min="3" max="3" width="28.5" style="29" bestFit="1" customWidth="1"/>
    <col min="4" max="4" width="21.5" style="29" bestFit="1" customWidth="1"/>
    <col min="5" max="5" width="10.5" style="29" bestFit="1" customWidth="1"/>
    <col min="6" max="6" width="31.33203125" style="29" bestFit="1" customWidth="1"/>
    <col min="7" max="9" width="5.5" style="30" bestFit="1" customWidth="1"/>
    <col min="10" max="10" width="4.83203125" style="30" bestFit="1" customWidth="1"/>
    <col min="11" max="11" width="11.33203125" style="30" bestFit="1" customWidth="1"/>
    <col min="12" max="12" width="8.5" style="30" bestFit="1" customWidth="1"/>
    <col min="13" max="13" width="24.5" style="29" bestFit="1" customWidth="1"/>
    <col min="14" max="16384" width="9.1640625" style="28"/>
  </cols>
  <sheetData>
    <row r="1" spans="1:13" s="42" customFormat="1" ht="29" customHeight="1">
      <c r="A1" s="90" t="s">
        <v>303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s="42" customFormat="1" ht="62" customHeight="1" thickBot="1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 s="40" customFormat="1" ht="12.75" customHeight="1">
      <c r="A3" s="97" t="s">
        <v>48</v>
      </c>
      <c r="B3" s="89" t="s">
        <v>0</v>
      </c>
      <c r="C3" s="99" t="s">
        <v>5</v>
      </c>
      <c r="D3" s="99" t="s">
        <v>6</v>
      </c>
      <c r="E3" s="85" t="s">
        <v>8</v>
      </c>
      <c r="F3" s="85" t="s">
        <v>7</v>
      </c>
      <c r="G3" s="85" t="s">
        <v>10</v>
      </c>
      <c r="H3" s="85"/>
      <c r="I3" s="85"/>
      <c r="J3" s="85"/>
      <c r="K3" s="85" t="s">
        <v>160</v>
      </c>
      <c r="L3" s="85" t="s">
        <v>3</v>
      </c>
      <c r="M3" s="87" t="s">
        <v>2</v>
      </c>
    </row>
    <row r="4" spans="1:13" s="40" customFormat="1" ht="21" customHeight="1" thickBot="1">
      <c r="A4" s="98"/>
      <c r="B4" s="78"/>
      <c r="C4" s="86"/>
      <c r="D4" s="86"/>
      <c r="E4" s="86"/>
      <c r="F4" s="86"/>
      <c r="G4" s="41">
        <v>1</v>
      </c>
      <c r="H4" s="41">
        <v>2</v>
      </c>
      <c r="I4" s="41">
        <v>3</v>
      </c>
      <c r="J4" s="41" t="s">
        <v>4</v>
      </c>
      <c r="K4" s="86"/>
      <c r="L4" s="86"/>
      <c r="M4" s="88"/>
    </row>
    <row r="5" spans="1:13" ht="16">
      <c r="A5" s="62" t="s">
        <v>24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35" t="s">
        <v>46</v>
      </c>
      <c r="B6" s="34" t="s">
        <v>276</v>
      </c>
      <c r="C6" s="34" t="s">
        <v>313</v>
      </c>
      <c r="D6" s="34" t="s">
        <v>195</v>
      </c>
      <c r="E6" s="34" t="str">
        <f>"0,5846"</f>
        <v>0,5846</v>
      </c>
      <c r="F6" s="34" t="s">
        <v>176</v>
      </c>
      <c r="G6" s="16" t="s">
        <v>19</v>
      </c>
      <c r="H6" s="16" t="s">
        <v>28</v>
      </c>
      <c r="I6" s="16" t="s">
        <v>29</v>
      </c>
      <c r="J6" s="35"/>
      <c r="K6" s="35" t="str">
        <f>"200,0"</f>
        <v>200,0</v>
      </c>
      <c r="L6" s="35" t="str">
        <f>"121,9371"</f>
        <v>121,9371</v>
      </c>
      <c r="M6" s="34" t="s">
        <v>320</v>
      </c>
    </row>
    <row r="7" spans="1:13">
      <c r="A7" s="32" t="s">
        <v>46</v>
      </c>
      <c r="B7" s="31" t="s">
        <v>275</v>
      </c>
      <c r="C7" s="31" t="s">
        <v>274</v>
      </c>
      <c r="D7" s="31" t="s">
        <v>273</v>
      </c>
      <c r="E7" s="31" t="str">
        <f>"0,5850"</f>
        <v>0,5850</v>
      </c>
      <c r="F7" s="31" t="s">
        <v>144</v>
      </c>
      <c r="G7" s="33" t="s">
        <v>34</v>
      </c>
      <c r="H7" s="24" t="s">
        <v>35</v>
      </c>
      <c r="I7" s="24" t="s">
        <v>17</v>
      </c>
      <c r="J7" s="32"/>
      <c r="K7" s="32" t="str">
        <f>"260,0"</f>
        <v>260,0</v>
      </c>
      <c r="L7" s="32" t="str">
        <f>"207,7864"</f>
        <v>207,7864</v>
      </c>
      <c r="M7" s="31" t="s">
        <v>321</v>
      </c>
    </row>
    <row r="8" spans="1:13">
      <c r="B8" s="29" t="s">
        <v>47</v>
      </c>
    </row>
    <row r="9" spans="1:13" ht="16">
      <c r="A9" s="64" t="s">
        <v>218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13">
      <c r="A10" s="38" t="s">
        <v>46</v>
      </c>
      <c r="B10" s="37" t="s">
        <v>272</v>
      </c>
      <c r="C10" s="37" t="s">
        <v>271</v>
      </c>
      <c r="D10" s="37" t="s">
        <v>270</v>
      </c>
      <c r="E10" s="37" t="str">
        <f>"0,5785"</f>
        <v>0,5785</v>
      </c>
      <c r="F10" s="37" t="s">
        <v>144</v>
      </c>
      <c r="G10" s="9" t="s">
        <v>17</v>
      </c>
      <c r="H10" s="9" t="s">
        <v>269</v>
      </c>
      <c r="I10" s="9" t="s">
        <v>268</v>
      </c>
      <c r="J10" s="38"/>
      <c r="K10" s="38" t="str">
        <f>"280,0"</f>
        <v>280,0</v>
      </c>
      <c r="L10" s="38" t="str">
        <f>"161,9800"</f>
        <v>161,9800</v>
      </c>
      <c r="M10" s="37" t="s">
        <v>321</v>
      </c>
    </row>
    <row r="11" spans="1:13">
      <c r="B11" s="29" t="s">
        <v>47</v>
      </c>
    </row>
    <row r="12" spans="1:13" ht="16">
      <c r="A12" s="64" t="s">
        <v>155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3">
      <c r="A13" s="35" t="s">
        <v>46</v>
      </c>
      <c r="B13" s="34" t="s">
        <v>266</v>
      </c>
      <c r="C13" s="34" t="s">
        <v>267</v>
      </c>
      <c r="D13" s="34" t="s">
        <v>265</v>
      </c>
      <c r="E13" s="34" t="str">
        <f>"0,5475"</f>
        <v>0,5475</v>
      </c>
      <c r="F13" s="34" t="s">
        <v>144</v>
      </c>
      <c r="G13" s="16" t="s">
        <v>264</v>
      </c>
      <c r="H13" s="16" t="s">
        <v>263</v>
      </c>
      <c r="I13" s="36" t="s">
        <v>262</v>
      </c>
      <c r="J13" s="35"/>
      <c r="K13" s="35" t="str">
        <f>"385,0"</f>
        <v>385,0</v>
      </c>
      <c r="L13" s="35" t="str">
        <f>"210,7683"</f>
        <v>210,7683</v>
      </c>
      <c r="M13" s="34" t="s">
        <v>321</v>
      </c>
    </row>
    <row r="14" spans="1:13">
      <c r="A14" s="32" t="s">
        <v>46</v>
      </c>
      <c r="B14" s="31" t="s">
        <v>266</v>
      </c>
      <c r="C14" s="31" t="s">
        <v>314</v>
      </c>
      <c r="D14" s="31" t="s">
        <v>265</v>
      </c>
      <c r="E14" s="31" t="str">
        <f>"0,5475"</f>
        <v>0,5475</v>
      </c>
      <c r="F14" s="31" t="s">
        <v>144</v>
      </c>
      <c r="G14" s="24" t="s">
        <v>264</v>
      </c>
      <c r="H14" s="24" t="s">
        <v>263</v>
      </c>
      <c r="I14" s="33" t="s">
        <v>262</v>
      </c>
      <c r="J14" s="32"/>
      <c r="K14" s="32" t="str">
        <f>"385,0"</f>
        <v>385,0</v>
      </c>
      <c r="L14" s="32" t="str">
        <f>"231,2128"</f>
        <v>231,2128</v>
      </c>
      <c r="M14" s="31" t="s">
        <v>321</v>
      </c>
    </row>
    <row r="15" spans="1:13">
      <c r="B15" s="29" t="s">
        <v>47</v>
      </c>
    </row>
  </sheetData>
  <mergeCells count="14">
    <mergeCell ref="A12:L12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M35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9.5" style="6" bestFit="1" customWidth="1"/>
    <col min="3" max="3" width="29" style="6" bestFit="1" customWidth="1"/>
    <col min="4" max="4" width="21.5" style="6" bestFit="1" customWidth="1"/>
    <col min="5" max="5" width="10.5" style="6" bestFit="1" customWidth="1"/>
    <col min="6" max="6" width="38.1640625" style="6" customWidth="1"/>
    <col min="7" max="9" width="5.5" style="7" bestFit="1" customWidth="1"/>
    <col min="10" max="10" width="4.83203125" style="7" bestFit="1" customWidth="1"/>
    <col min="11" max="11" width="11.33203125" style="47" bestFit="1" customWidth="1"/>
    <col min="12" max="12" width="8.5" style="49" bestFit="1" customWidth="1"/>
    <col min="13" max="13" width="25" style="6" bestFit="1" customWidth="1"/>
    <col min="14" max="16384" width="9.1640625" style="3"/>
  </cols>
  <sheetData>
    <row r="1" spans="1:13" s="2" customFormat="1" ht="29" customHeight="1">
      <c r="A1" s="65" t="s">
        <v>326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2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48</v>
      </c>
      <c r="B3" s="77" t="s">
        <v>0</v>
      </c>
      <c r="C3" s="74" t="s">
        <v>5</v>
      </c>
      <c r="D3" s="74" t="s">
        <v>6</v>
      </c>
      <c r="E3" s="76" t="s">
        <v>8</v>
      </c>
      <c r="F3" s="76" t="s">
        <v>7</v>
      </c>
      <c r="G3" s="76" t="s">
        <v>11</v>
      </c>
      <c r="H3" s="76"/>
      <c r="I3" s="76"/>
      <c r="J3" s="76"/>
      <c r="K3" s="79" t="s">
        <v>160</v>
      </c>
      <c r="L3" s="81" t="s">
        <v>3</v>
      </c>
      <c r="M3" s="59" t="s">
        <v>2</v>
      </c>
    </row>
    <row r="4" spans="1:13" s="1" customFormat="1" ht="21" customHeight="1" thickBot="1">
      <c r="A4" s="73"/>
      <c r="B4" s="78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80"/>
      <c r="L4" s="82"/>
      <c r="M4" s="60"/>
    </row>
    <row r="5" spans="1:13" ht="16">
      <c r="A5" s="61" t="s">
        <v>127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11" t="s">
        <v>46</v>
      </c>
      <c r="B6" s="8" t="s">
        <v>128</v>
      </c>
      <c r="C6" s="8" t="s">
        <v>306</v>
      </c>
      <c r="D6" s="8" t="s">
        <v>129</v>
      </c>
      <c r="E6" s="8" t="str">
        <f>"1,1076"</f>
        <v>1,1076</v>
      </c>
      <c r="F6" s="8" t="s">
        <v>176</v>
      </c>
      <c r="G6" s="9" t="s">
        <v>92</v>
      </c>
      <c r="H6" s="9" t="s">
        <v>106</v>
      </c>
      <c r="I6" s="10" t="s">
        <v>79</v>
      </c>
      <c r="J6" s="11"/>
      <c r="K6" s="46">
        <v>140</v>
      </c>
      <c r="L6" s="48">
        <f>K6*E6</f>
        <v>155.06399999999999</v>
      </c>
      <c r="M6" s="8" t="s">
        <v>339</v>
      </c>
    </row>
    <row r="7" spans="1:13">
      <c r="B7" s="6" t="s">
        <v>47</v>
      </c>
    </row>
    <row r="8" spans="1:13" ht="16">
      <c r="A8" s="63" t="s">
        <v>59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3">
      <c r="A9" s="11" t="s">
        <v>46</v>
      </c>
      <c r="B9" s="8" t="s">
        <v>132</v>
      </c>
      <c r="C9" s="8" t="s">
        <v>224</v>
      </c>
      <c r="D9" s="8" t="s">
        <v>133</v>
      </c>
      <c r="E9" s="8" t="str">
        <f>"0,9984"</f>
        <v>0,9984</v>
      </c>
      <c r="F9" s="8" t="s">
        <v>176</v>
      </c>
      <c r="G9" s="9" t="s">
        <v>100</v>
      </c>
      <c r="H9" s="9" t="s">
        <v>92</v>
      </c>
      <c r="I9" s="9" t="s">
        <v>101</v>
      </c>
      <c r="J9" s="11"/>
      <c r="K9" s="46" t="str">
        <f>"135,0"</f>
        <v>135,0</v>
      </c>
      <c r="L9" s="48" t="str">
        <f>"138,9553"</f>
        <v>138,9553</v>
      </c>
      <c r="M9" s="8" t="s">
        <v>339</v>
      </c>
    </row>
    <row r="10" spans="1:13">
      <c r="B10" s="6" t="s">
        <v>47</v>
      </c>
    </row>
    <row r="11" spans="1:13" ht="16">
      <c r="A11" s="63" t="s">
        <v>81</v>
      </c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3">
      <c r="A12" s="11" t="s">
        <v>46</v>
      </c>
      <c r="B12" s="8" t="s">
        <v>137</v>
      </c>
      <c r="C12" s="8" t="s">
        <v>307</v>
      </c>
      <c r="D12" s="8" t="s">
        <v>138</v>
      </c>
      <c r="E12" s="8" t="str">
        <f>"0,8436"</f>
        <v>0,8436</v>
      </c>
      <c r="F12" s="8" t="s">
        <v>176</v>
      </c>
      <c r="G12" s="9" t="s">
        <v>92</v>
      </c>
      <c r="H12" s="9" t="s">
        <v>106</v>
      </c>
      <c r="I12" s="9" t="s">
        <v>79</v>
      </c>
      <c r="J12" s="10" t="s">
        <v>140</v>
      </c>
      <c r="K12" s="46" t="str">
        <f>"145,0"</f>
        <v>145,0</v>
      </c>
      <c r="L12" s="48" t="str">
        <f>"122,3292"</f>
        <v>122,3292</v>
      </c>
      <c r="M12" s="8" t="s">
        <v>339</v>
      </c>
    </row>
    <row r="13" spans="1:13">
      <c r="B13" s="6" t="s">
        <v>47</v>
      </c>
    </row>
    <row r="14" spans="1:13" ht="16">
      <c r="A14" s="63" t="s">
        <v>88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3">
      <c r="A15" s="11" t="s">
        <v>46</v>
      </c>
      <c r="B15" s="8" t="s">
        <v>225</v>
      </c>
      <c r="C15" s="8" t="s">
        <v>226</v>
      </c>
      <c r="D15" s="8" t="s">
        <v>178</v>
      </c>
      <c r="E15" s="8" t="str">
        <f>"0,7907"</f>
        <v>0,7907</v>
      </c>
      <c r="F15" s="8" t="s">
        <v>144</v>
      </c>
      <c r="G15" s="9" t="s">
        <v>85</v>
      </c>
      <c r="H15" s="9" t="s">
        <v>92</v>
      </c>
      <c r="I15" s="9" t="s">
        <v>101</v>
      </c>
      <c r="J15" s="11"/>
      <c r="K15" s="46" t="str">
        <f>"135,0"</f>
        <v>135,0</v>
      </c>
      <c r="L15" s="48" t="str">
        <f>"106,7445"</f>
        <v>106,7445</v>
      </c>
      <c r="M15" s="8" t="s">
        <v>321</v>
      </c>
    </row>
    <row r="16" spans="1:13">
      <c r="B16" s="6" t="s">
        <v>47</v>
      </c>
    </row>
    <row r="17" spans="1:13" ht="16">
      <c r="A17" s="63" t="s">
        <v>70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3">
      <c r="A18" s="11" t="s">
        <v>46</v>
      </c>
      <c r="B18" s="8" t="s">
        <v>71</v>
      </c>
      <c r="C18" s="8" t="s">
        <v>72</v>
      </c>
      <c r="D18" s="8" t="s">
        <v>73</v>
      </c>
      <c r="E18" s="8" t="str">
        <f>"0,9043"</f>
        <v>0,9043</v>
      </c>
      <c r="F18" s="8" t="s">
        <v>338</v>
      </c>
      <c r="G18" s="9" t="s">
        <v>79</v>
      </c>
      <c r="H18" s="9" t="s">
        <v>32</v>
      </c>
      <c r="I18" s="10" t="s">
        <v>80</v>
      </c>
      <c r="J18" s="11"/>
      <c r="K18" s="46" t="str">
        <f>"155,0"</f>
        <v>155,0</v>
      </c>
      <c r="L18" s="48" t="str">
        <f>"140,1742"</f>
        <v>140,1742</v>
      </c>
      <c r="M18" s="8" t="s">
        <v>335</v>
      </c>
    </row>
    <row r="19" spans="1:13">
      <c r="B19" s="6" t="s">
        <v>47</v>
      </c>
    </row>
    <row r="20" spans="1:13" ht="16">
      <c r="A20" s="63" t="s">
        <v>161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pans="1:13">
      <c r="A21" s="11" t="s">
        <v>46</v>
      </c>
      <c r="B21" s="8" t="s">
        <v>162</v>
      </c>
      <c r="C21" s="8" t="s">
        <v>308</v>
      </c>
      <c r="D21" s="8" t="s">
        <v>163</v>
      </c>
      <c r="E21" s="8" t="str">
        <f>"0,7531"</f>
        <v>0,7531</v>
      </c>
      <c r="F21" s="8" t="s">
        <v>176</v>
      </c>
      <c r="G21" s="9" t="s">
        <v>79</v>
      </c>
      <c r="H21" s="9" t="s">
        <v>32</v>
      </c>
      <c r="I21" s="9" t="s">
        <v>33</v>
      </c>
      <c r="J21" s="11"/>
      <c r="K21" s="46" t="str">
        <f>"160,0"</f>
        <v>160,0</v>
      </c>
      <c r="L21" s="48" t="str">
        <f>"120,5040"</f>
        <v>120,5040</v>
      </c>
      <c r="M21" s="8" t="s">
        <v>341</v>
      </c>
    </row>
    <row r="22" spans="1:13">
      <c r="B22" s="6" t="s">
        <v>47</v>
      </c>
    </row>
    <row r="23" spans="1:13" ht="16">
      <c r="A23" s="63" t="s">
        <v>88</v>
      </c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</row>
    <row r="24" spans="1:13">
      <c r="A24" s="11" t="s">
        <v>46</v>
      </c>
      <c r="B24" s="8" t="s">
        <v>227</v>
      </c>
      <c r="C24" s="8" t="s">
        <v>228</v>
      </c>
      <c r="D24" s="8" t="s">
        <v>229</v>
      </c>
      <c r="E24" s="8" t="str">
        <f>"0,6812"</f>
        <v>0,6812</v>
      </c>
      <c r="F24" s="8" t="s">
        <v>176</v>
      </c>
      <c r="G24" s="9" t="s">
        <v>33</v>
      </c>
      <c r="H24" s="9" t="s">
        <v>80</v>
      </c>
      <c r="I24" s="9" t="s">
        <v>19</v>
      </c>
      <c r="J24" s="11"/>
      <c r="K24" s="46" t="str">
        <f>"180,0"</f>
        <v>180,0</v>
      </c>
      <c r="L24" s="48" t="str">
        <f>"122,6250"</f>
        <v>122,6250</v>
      </c>
      <c r="M24" s="8" t="s">
        <v>347</v>
      </c>
    </row>
    <row r="25" spans="1:13">
      <c r="B25" s="6" t="s">
        <v>47</v>
      </c>
    </row>
    <row r="26" spans="1:13" ht="16">
      <c r="A26" s="63" t="s">
        <v>12</v>
      </c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1:13">
      <c r="A27" s="18" t="s">
        <v>46</v>
      </c>
      <c r="B27" s="15" t="s">
        <v>230</v>
      </c>
      <c r="C27" s="15" t="s">
        <v>231</v>
      </c>
      <c r="D27" s="15" t="s">
        <v>232</v>
      </c>
      <c r="E27" s="15" t="str">
        <f>"0,6269"</f>
        <v>0,6269</v>
      </c>
      <c r="F27" s="15" t="s">
        <v>222</v>
      </c>
      <c r="G27" s="16" t="s">
        <v>32</v>
      </c>
      <c r="H27" s="17" t="s">
        <v>80</v>
      </c>
      <c r="I27" s="17" t="s">
        <v>191</v>
      </c>
      <c r="J27" s="18"/>
      <c r="K27" s="50" t="str">
        <f>"155,0"</f>
        <v>155,0</v>
      </c>
      <c r="L27" s="57" t="str">
        <f>"97,1618"</f>
        <v>97,1618</v>
      </c>
      <c r="M27" s="15" t="s">
        <v>319</v>
      </c>
    </row>
    <row r="28" spans="1:13">
      <c r="A28" s="25" t="s">
        <v>46</v>
      </c>
      <c r="B28" s="23" t="s">
        <v>233</v>
      </c>
      <c r="C28" s="23" t="s">
        <v>234</v>
      </c>
      <c r="D28" s="23" t="s">
        <v>235</v>
      </c>
      <c r="E28" s="23" t="str">
        <f>"0,6153"</f>
        <v>0,6153</v>
      </c>
      <c r="F28" s="23" t="s">
        <v>176</v>
      </c>
      <c r="G28" s="24" t="s">
        <v>108</v>
      </c>
      <c r="H28" s="24" t="s">
        <v>236</v>
      </c>
      <c r="I28" s="26" t="s">
        <v>35</v>
      </c>
      <c r="J28" s="25"/>
      <c r="K28" s="52" t="str">
        <f>"235,0"</f>
        <v>235,0</v>
      </c>
      <c r="L28" s="58" t="str">
        <f>"144,5955"</f>
        <v>144,5955</v>
      </c>
      <c r="M28" s="23" t="s">
        <v>337</v>
      </c>
    </row>
    <row r="29" spans="1:13">
      <c r="B29" s="6" t="s">
        <v>47</v>
      </c>
    </row>
    <row r="30" spans="1:13" ht="16">
      <c r="A30" s="63" t="s">
        <v>24</v>
      </c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3">
      <c r="A31" s="11" t="s">
        <v>46</v>
      </c>
      <c r="B31" s="8" t="s">
        <v>102</v>
      </c>
      <c r="C31" s="8" t="s">
        <v>103</v>
      </c>
      <c r="D31" s="8" t="s">
        <v>104</v>
      </c>
      <c r="E31" s="8" t="str">
        <f>"0,5843"</f>
        <v>0,5843</v>
      </c>
      <c r="F31" s="8" t="s">
        <v>176</v>
      </c>
      <c r="G31" s="9" t="s">
        <v>18</v>
      </c>
      <c r="H31" s="9" t="s">
        <v>107</v>
      </c>
      <c r="I31" s="10" t="s">
        <v>23</v>
      </c>
      <c r="J31" s="11"/>
      <c r="K31" s="46" t="str">
        <f>"285,0"</f>
        <v>285,0</v>
      </c>
      <c r="L31" s="48" t="str">
        <f>"166,5255"</f>
        <v>166,5255</v>
      </c>
      <c r="M31" s="8" t="s">
        <v>352</v>
      </c>
    </row>
    <row r="32" spans="1:13">
      <c r="B32" s="6" t="s">
        <v>47</v>
      </c>
    </row>
    <row r="33" spans="1:13" ht="16">
      <c r="A33" s="63" t="s">
        <v>155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</row>
    <row r="34" spans="1:13">
      <c r="A34" s="11" t="s">
        <v>46</v>
      </c>
      <c r="B34" s="8" t="s">
        <v>237</v>
      </c>
      <c r="C34" s="8" t="s">
        <v>238</v>
      </c>
      <c r="D34" s="8" t="s">
        <v>239</v>
      </c>
      <c r="E34" s="8" t="str">
        <f>"0,5533"</f>
        <v>0,5533</v>
      </c>
      <c r="F34" s="8" t="s">
        <v>349</v>
      </c>
      <c r="G34" s="9" t="s">
        <v>34</v>
      </c>
      <c r="H34" s="9" t="s">
        <v>35</v>
      </c>
      <c r="I34" s="9" t="s">
        <v>240</v>
      </c>
      <c r="J34" s="11"/>
      <c r="K34" s="46" t="str">
        <f>"247,5"</f>
        <v>247,5</v>
      </c>
      <c r="L34" s="48" t="str">
        <f>"136,9418"</f>
        <v>136,9418</v>
      </c>
      <c r="M34" s="8" t="s">
        <v>348</v>
      </c>
    </row>
    <row r="35" spans="1:13">
      <c r="B35" s="6" t="s">
        <v>47</v>
      </c>
    </row>
  </sheetData>
  <mergeCells count="21">
    <mergeCell ref="A33:L33"/>
    <mergeCell ref="B3:B4"/>
    <mergeCell ref="A14:L14"/>
    <mergeCell ref="A17:L17"/>
    <mergeCell ref="A20:L20"/>
    <mergeCell ref="A23:L23"/>
    <mergeCell ref="A26:L26"/>
    <mergeCell ref="A30:L30"/>
    <mergeCell ref="K3:K4"/>
    <mergeCell ref="L3:L4"/>
    <mergeCell ref="M3:M4"/>
    <mergeCell ref="A5:L5"/>
    <mergeCell ref="A8:L8"/>
    <mergeCell ref="A11:L1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3.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6.1640625" style="6" customWidth="1"/>
    <col min="7" max="9" width="5.5" style="7" bestFit="1" customWidth="1"/>
    <col min="10" max="10" width="4.83203125" style="7" bestFit="1" customWidth="1"/>
    <col min="11" max="11" width="11.33203125" style="7" bestFit="1" customWidth="1"/>
    <col min="12" max="12" width="8.5" style="7" bestFit="1" customWidth="1"/>
    <col min="13" max="13" width="19.6640625" style="6" customWidth="1"/>
    <col min="14" max="16384" width="9.1640625" style="3"/>
  </cols>
  <sheetData>
    <row r="1" spans="1:13" s="2" customFormat="1" ht="29" customHeight="1">
      <c r="A1" s="65" t="s">
        <v>325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2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48</v>
      </c>
      <c r="B3" s="77" t="s">
        <v>0</v>
      </c>
      <c r="C3" s="74" t="s">
        <v>5</v>
      </c>
      <c r="D3" s="74" t="s">
        <v>6</v>
      </c>
      <c r="E3" s="76" t="s">
        <v>8</v>
      </c>
      <c r="F3" s="76" t="s">
        <v>7</v>
      </c>
      <c r="G3" s="76" t="s">
        <v>11</v>
      </c>
      <c r="H3" s="76"/>
      <c r="I3" s="76"/>
      <c r="J3" s="76"/>
      <c r="K3" s="76" t="s">
        <v>160</v>
      </c>
      <c r="L3" s="76" t="s">
        <v>3</v>
      </c>
      <c r="M3" s="59" t="s">
        <v>2</v>
      </c>
    </row>
    <row r="4" spans="1:13" s="1" customFormat="1" ht="21" customHeight="1" thickBot="1">
      <c r="A4" s="73"/>
      <c r="B4" s="78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60"/>
    </row>
    <row r="5" spans="1:13" ht="16">
      <c r="A5" s="61" t="s">
        <v>81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11" t="s">
        <v>46</v>
      </c>
      <c r="B6" s="8" t="s">
        <v>141</v>
      </c>
      <c r="C6" s="8" t="s">
        <v>142</v>
      </c>
      <c r="D6" s="8" t="s">
        <v>143</v>
      </c>
      <c r="E6" s="8" t="str">
        <f>"0,8633"</f>
        <v>0,8633</v>
      </c>
      <c r="F6" s="8" t="s">
        <v>144</v>
      </c>
      <c r="G6" s="9" t="s">
        <v>209</v>
      </c>
      <c r="H6" s="9" t="s">
        <v>34</v>
      </c>
      <c r="I6" s="11"/>
      <c r="J6" s="11"/>
      <c r="K6" s="11" t="str">
        <f>"230,0"</f>
        <v>230,0</v>
      </c>
      <c r="L6" s="11" t="str">
        <f>"198,5521"</f>
        <v>198,5521</v>
      </c>
      <c r="M6" s="8" t="s">
        <v>321</v>
      </c>
    </row>
    <row r="7" spans="1:13">
      <c r="B7" s="6" t="s">
        <v>47</v>
      </c>
    </row>
    <row r="8" spans="1:13" ht="16">
      <c r="A8" s="63" t="s">
        <v>59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3">
      <c r="A9" s="11" t="s">
        <v>46</v>
      </c>
      <c r="B9" s="8" t="s">
        <v>210</v>
      </c>
      <c r="C9" s="8" t="s">
        <v>211</v>
      </c>
      <c r="D9" s="8" t="s">
        <v>212</v>
      </c>
      <c r="E9" s="8" t="str">
        <f>"0,8383"</f>
        <v>0,8383</v>
      </c>
      <c r="F9" s="8" t="s">
        <v>323</v>
      </c>
      <c r="G9" s="9" t="s">
        <v>68</v>
      </c>
      <c r="H9" s="9" t="s">
        <v>145</v>
      </c>
      <c r="I9" s="10" t="s">
        <v>76</v>
      </c>
      <c r="J9" s="11"/>
      <c r="K9" s="11" t="str">
        <f>"112,5"</f>
        <v>112,5</v>
      </c>
      <c r="L9" s="11" t="str">
        <f>"193,3329"</f>
        <v>193,3329</v>
      </c>
      <c r="M9" s="8" t="s">
        <v>350</v>
      </c>
    </row>
    <row r="10" spans="1:13">
      <c r="B10" s="6" t="s">
        <v>47</v>
      </c>
    </row>
    <row r="11" spans="1:13" ht="16">
      <c r="A11" s="63" t="s">
        <v>12</v>
      </c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3">
      <c r="A12" s="11" t="s">
        <v>46</v>
      </c>
      <c r="B12" s="8" t="s">
        <v>13</v>
      </c>
      <c r="C12" s="8" t="s">
        <v>14</v>
      </c>
      <c r="D12" s="8" t="s">
        <v>15</v>
      </c>
      <c r="E12" s="8" t="str">
        <f>"0,6122"</f>
        <v>0,6122</v>
      </c>
      <c r="F12" s="8" t="s">
        <v>322</v>
      </c>
      <c r="G12" s="10" t="s">
        <v>22</v>
      </c>
      <c r="H12" s="9" t="s">
        <v>22</v>
      </c>
      <c r="I12" s="10" t="s">
        <v>23</v>
      </c>
      <c r="J12" s="11"/>
      <c r="K12" s="11" t="str">
        <f>"290,0"</f>
        <v>290,0</v>
      </c>
      <c r="L12" s="11" t="str">
        <f>"177,5525"</f>
        <v>177,5525</v>
      </c>
      <c r="M12" s="8" t="s">
        <v>352</v>
      </c>
    </row>
    <row r="13" spans="1:13">
      <c r="B13" s="6" t="s">
        <v>47</v>
      </c>
    </row>
    <row r="14" spans="1:13" ht="16">
      <c r="A14" s="63" t="s">
        <v>24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3">
      <c r="A15" s="18" t="s">
        <v>46</v>
      </c>
      <c r="B15" s="15" t="s">
        <v>213</v>
      </c>
      <c r="C15" s="15" t="s">
        <v>214</v>
      </c>
      <c r="D15" s="15" t="s">
        <v>215</v>
      </c>
      <c r="E15" s="15" t="str">
        <f>"0,5911"</f>
        <v>0,5911</v>
      </c>
      <c r="F15" s="15" t="s">
        <v>176</v>
      </c>
      <c r="G15" s="16" t="s">
        <v>95</v>
      </c>
      <c r="H15" s="16" t="s">
        <v>108</v>
      </c>
      <c r="I15" s="17" t="s">
        <v>34</v>
      </c>
      <c r="J15" s="18"/>
      <c r="K15" s="18" t="str">
        <f>"225,0"</f>
        <v>225,0</v>
      </c>
      <c r="L15" s="18" t="str">
        <f>"132,9975"</f>
        <v>132,9975</v>
      </c>
      <c r="M15" s="15" t="s">
        <v>352</v>
      </c>
    </row>
    <row r="16" spans="1:13">
      <c r="A16" s="25" t="s">
        <v>46</v>
      </c>
      <c r="B16" s="23" t="s">
        <v>216</v>
      </c>
      <c r="C16" s="23" t="s">
        <v>217</v>
      </c>
      <c r="D16" s="23" t="s">
        <v>199</v>
      </c>
      <c r="E16" s="23" t="str">
        <f>"0,5955"</f>
        <v>0,5955</v>
      </c>
      <c r="F16" s="23" t="s">
        <v>176</v>
      </c>
      <c r="G16" s="24" t="s">
        <v>19</v>
      </c>
      <c r="H16" s="24" t="s">
        <v>28</v>
      </c>
      <c r="I16" s="24" t="s">
        <v>29</v>
      </c>
      <c r="J16" s="25"/>
      <c r="K16" s="25" t="str">
        <f>"200,0"</f>
        <v>200,0</v>
      </c>
      <c r="L16" s="25" t="str">
        <f>"141,0144"</f>
        <v>141,0144</v>
      </c>
      <c r="M16" s="23" t="s">
        <v>351</v>
      </c>
    </row>
    <row r="17" spans="1:13">
      <c r="B17" s="6" t="s">
        <v>47</v>
      </c>
    </row>
    <row r="18" spans="1:13" ht="16">
      <c r="A18" s="63" t="s">
        <v>218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1:13">
      <c r="A19" s="18" t="s">
        <v>46</v>
      </c>
      <c r="B19" s="15" t="s">
        <v>219</v>
      </c>
      <c r="C19" s="15" t="s">
        <v>220</v>
      </c>
      <c r="D19" s="15" t="s">
        <v>221</v>
      </c>
      <c r="E19" s="15" t="str">
        <f>"0,5730"</f>
        <v>0,5730</v>
      </c>
      <c r="F19" s="15" t="s">
        <v>222</v>
      </c>
      <c r="G19" s="16" t="s">
        <v>35</v>
      </c>
      <c r="H19" s="17" t="s">
        <v>16</v>
      </c>
      <c r="I19" s="17" t="s">
        <v>16</v>
      </c>
      <c r="J19" s="18"/>
      <c r="K19" s="18" t="str">
        <f>"240,0"</f>
        <v>240,0</v>
      </c>
      <c r="L19" s="18" t="str">
        <f>"137,5080"</f>
        <v>137,5080</v>
      </c>
      <c r="M19" s="15" t="s">
        <v>352</v>
      </c>
    </row>
    <row r="20" spans="1:13">
      <c r="A20" s="25" t="s">
        <v>46</v>
      </c>
      <c r="B20" s="23" t="s">
        <v>219</v>
      </c>
      <c r="C20" s="23" t="s">
        <v>223</v>
      </c>
      <c r="D20" s="23" t="s">
        <v>221</v>
      </c>
      <c r="E20" s="23" t="str">
        <f>"0,5730"</f>
        <v>0,5730</v>
      </c>
      <c r="F20" s="23" t="s">
        <v>222</v>
      </c>
      <c r="G20" s="24" t="s">
        <v>35</v>
      </c>
      <c r="H20" s="26" t="s">
        <v>16</v>
      </c>
      <c r="I20" s="26" t="s">
        <v>16</v>
      </c>
      <c r="J20" s="25"/>
      <c r="K20" s="25" t="str">
        <f>"240,0"</f>
        <v>240,0</v>
      </c>
      <c r="L20" s="25" t="str">
        <f>"146,8585"</f>
        <v>146,8585</v>
      </c>
      <c r="M20" s="23" t="s">
        <v>352</v>
      </c>
    </row>
    <row r="21" spans="1:13">
      <c r="B21" s="6" t="s">
        <v>47</v>
      </c>
    </row>
  </sheetData>
  <mergeCells count="16">
    <mergeCell ref="A14:L14"/>
    <mergeCell ref="A18:L18"/>
    <mergeCell ref="B3:B4"/>
    <mergeCell ref="K3:K4"/>
    <mergeCell ref="L3:L4"/>
    <mergeCell ref="M3:M4"/>
    <mergeCell ref="A5:L5"/>
    <mergeCell ref="A8:L8"/>
    <mergeCell ref="A11:L1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8.5" style="6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31.6640625" style="6" bestFit="1" customWidth="1"/>
    <col min="7" max="7" width="4.5" style="7" bestFit="1" customWidth="1"/>
    <col min="8" max="9" width="5.5" style="7" bestFit="1" customWidth="1"/>
    <col min="10" max="10" width="4.83203125" style="7" bestFit="1" customWidth="1"/>
    <col min="11" max="11" width="11.33203125" style="7" bestFit="1" customWidth="1"/>
    <col min="12" max="12" width="8.5" style="7" bestFit="1" customWidth="1"/>
    <col min="13" max="13" width="20.5" style="6" customWidth="1"/>
    <col min="14" max="16384" width="9.1640625" style="3"/>
  </cols>
  <sheetData>
    <row r="1" spans="1:13" s="2" customFormat="1" ht="29" customHeight="1">
      <c r="A1" s="65" t="s">
        <v>324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2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48</v>
      </c>
      <c r="B3" s="77" t="s">
        <v>0</v>
      </c>
      <c r="C3" s="74" t="s">
        <v>5</v>
      </c>
      <c r="D3" s="74" t="s">
        <v>6</v>
      </c>
      <c r="E3" s="76" t="s">
        <v>8</v>
      </c>
      <c r="F3" s="76" t="s">
        <v>7</v>
      </c>
      <c r="G3" s="76" t="s">
        <v>11</v>
      </c>
      <c r="H3" s="76"/>
      <c r="I3" s="76"/>
      <c r="J3" s="76"/>
      <c r="K3" s="76" t="s">
        <v>160</v>
      </c>
      <c r="L3" s="76" t="s">
        <v>3</v>
      </c>
      <c r="M3" s="59" t="s">
        <v>2</v>
      </c>
    </row>
    <row r="4" spans="1:13" s="1" customFormat="1" ht="21" customHeight="1" thickBot="1">
      <c r="A4" s="73"/>
      <c r="B4" s="78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60"/>
    </row>
    <row r="5" spans="1:13" ht="16">
      <c r="A5" s="61" t="s">
        <v>161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11" t="s">
        <v>46</v>
      </c>
      <c r="B6" s="8" t="s">
        <v>241</v>
      </c>
      <c r="C6" s="8" t="s">
        <v>242</v>
      </c>
      <c r="D6" s="8" t="s">
        <v>243</v>
      </c>
      <c r="E6" s="8" t="str">
        <f>"0,9571"</f>
        <v>0,9571</v>
      </c>
      <c r="F6" s="8" t="s">
        <v>176</v>
      </c>
      <c r="G6" s="9" t="s">
        <v>78</v>
      </c>
      <c r="H6" s="9" t="s">
        <v>98</v>
      </c>
      <c r="I6" s="9" t="s">
        <v>74</v>
      </c>
      <c r="J6" s="11"/>
      <c r="K6" s="11" t="str">
        <f>"115,0"</f>
        <v>115,0</v>
      </c>
      <c r="L6" s="11" t="str">
        <f>"110,0665"</f>
        <v>110,0665</v>
      </c>
      <c r="M6" s="8" t="s">
        <v>320</v>
      </c>
    </row>
    <row r="7" spans="1:13">
      <c r="B7" s="6" t="s">
        <v>47</v>
      </c>
    </row>
  </sheetData>
  <mergeCells count="12">
    <mergeCell ref="A5:L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21E0-D126-3349-B2B6-80260DB54462}">
  <dimension ref="A1:M31"/>
  <sheetViews>
    <sheetView tabSelected="1" workbookViewId="0">
      <selection activeCell="N3" sqref="N3"/>
    </sheetView>
  </sheetViews>
  <sheetFormatPr baseColWidth="10" defaultColWidth="9.1640625" defaultRowHeight="13"/>
  <cols>
    <col min="1" max="1" width="7.5" style="30" bestFit="1" customWidth="1"/>
    <col min="2" max="2" width="19.5" style="29" bestFit="1" customWidth="1"/>
    <col min="3" max="3" width="28.5" style="29" bestFit="1" customWidth="1"/>
    <col min="4" max="4" width="21.5" style="29" bestFit="1" customWidth="1"/>
    <col min="5" max="5" width="10.5" style="29" bestFit="1" customWidth="1"/>
    <col min="6" max="6" width="38.5" style="29" customWidth="1"/>
    <col min="7" max="9" width="4.5" style="30" bestFit="1" customWidth="1"/>
    <col min="10" max="10" width="4.83203125" style="30" bestFit="1" customWidth="1"/>
    <col min="11" max="11" width="11.33203125" style="30" bestFit="1" customWidth="1"/>
    <col min="12" max="12" width="7.5" style="30" bestFit="1" customWidth="1"/>
    <col min="13" max="13" width="29.33203125" style="29" bestFit="1" customWidth="1"/>
    <col min="14" max="16384" width="9.1640625" style="28"/>
  </cols>
  <sheetData>
    <row r="1" spans="1:13" s="42" customFormat="1" ht="29" customHeight="1">
      <c r="A1" s="90" t="s">
        <v>304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s="42" customFormat="1" ht="62" customHeight="1" thickBot="1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 s="40" customFormat="1" ht="12.75" customHeight="1">
      <c r="A3" s="97" t="s">
        <v>48</v>
      </c>
      <c r="B3" s="89" t="s">
        <v>0</v>
      </c>
      <c r="C3" s="99" t="s">
        <v>5</v>
      </c>
      <c r="D3" s="99" t="s">
        <v>6</v>
      </c>
      <c r="E3" s="85" t="s">
        <v>8</v>
      </c>
      <c r="F3" s="85" t="s">
        <v>7</v>
      </c>
      <c r="G3" s="85" t="s">
        <v>277</v>
      </c>
      <c r="H3" s="85"/>
      <c r="I3" s="85"/>
      <c r="J3" s="85"/>
      <c r="K3" s="85" t="s">
        <v>160</v>
      </c>
      <c r="L3" s="85" t="s">
        <v>3</v>
      </c>
      <c r="M3" s="87" t="s">
        <v>2</v>
      </c>
    </row>
    <row r="4" spans="1:13" s="40" customFormat="1" ht="21" customHeight="1" thickBot="1">
      <c r="A4" s="98"/>
      <c r="B4" s="78"/>
      <c r="C4" s="86"/>
      <c r="D4" s="86"/>
      <c r="E4" s="86"/>
      <c r="F4" s="86"/>
      <c r="G4" s="41">
        <v>1</v>
      </c>
      <c r="H4" s="41">
        <v>2</v>
      </c>
      <c r="I4" s="41">
        <v>3</v>
      </c>
      <c r="J4" s="41" t="s">
        <v>4</v>
      </c>
      <c r="K4" s="86"/>
      <c r="L4" s="86"/>
      <c r="M4" s="88"/>
    </row>
    <row r="5" spans="1:13" ht="16">
      <c r="A5" s="62" t="s">
        <v>127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38" t="s">
        <v>46</v>
      </c>
      <c r="B6" s="37" t="s">
        <v>279</v>
      </c>
      <c r="C6" s="37" t="s">
        <v>315</v>
      </c>
      <c r="D6" s="37" t="s">
        <v>280</v>
      </c>
      <c r="E6" s="37" t="str">
        <f>"0,9768"</f>
        <v>0,9768</v>
      </c>
      <c r="F6" s="37" t="s">
        <v>176</v>
      </c>
      <c r="G6" s="9" t="s">
        <v>281</v>
      </c>
      <c r="H6" s="9" t="s">
        <v>282</v>
      </c>
      <c r="I6" s="9" t="s">
        <v>283</v>
      </c>
      <c r="J6" s="38"/>
      <c r="K6" s="38" t="str">
        <f>"37,5"</f>
        <v>37,5</v>
      </c>
      <c r="L6" s="38" t="str">
        <f>"36,6300"</f>
        <v>36,6300</v>
      </c>
      <c r="M6" s="37" t="s">
        <v>284</v>
      </c>
    </row>
    <row r="7" spans="1:13">
      <c r="B7" s="29" t="s">
        <v>47</v>
      </c>
    </row>
    <row r="8" spans="1:13" ht="16">
      <c r="A8" s="64" t="s">
        <v>59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3">
      <c r="A9" s="38" t="s">
        <v>46</v>
      </c>
      <c r="B9" s="37" t="s">
        <v>285</v>
      </c>
      <c r="C9" s="37" t="s">
        <v>286</v>
      </c>
      <c r="D9" s="37" t="s">
        <v>287</v>
      </c>
      <c r="E9" s="37" t="str">
        <f>"0,8411"</f>
        <v>0,8411</v>
      </c>
      <c r="F9" s="37" t="s">
        <v>176</v>
      </c>
      <c r="G9" s="9" t="s">
        <v>288</v>
      </c>
      <c r="H9" s="9" t="s">
        <v>134</v>
      </c>
      <c r="I9" s="39" t="s">
        <v>63</v>
      </c>
      <c r="J9" s="38"/>
      <c r="K9" s="38" t="str">
        <f>"52,5"</f>
        <v>52,5</v>
      </c>
      <c r="L9" s="38" t="str">
        <f>"44,1551"</f>
        <v>44,1551</v>
      </c>
      <c r="M9" s="37" t="s">
        <v>352</v>
      </c>
    </row>
    <row r="10" spans="1:13">
      <c r="B10" s="29" t="s">
        <v>47</v>
      </c>
    </row>
    <row r="11" spans="1:13" ht="16">
      <c r="A11" s="64" t="s">
        <v>81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3">
      <c r="A12" s="35" t="s">
        <v>46</v>
      </c>
      <c r="B12" s="34" t="s">
        <v>289</v>
      </c>
      <c r="C12" s="34" t="s">
        <v>316</v>
      </c>
      <c r="D12" s="34" t="s">
        <v>290</v>
      </c>
      <c r="E12" s="34" t="str">
        <f>"0,7056"</f>
        <v>0,7056</v>
      </c>
      <c r="F12" s="34" t="s">
        <v>176</v>
      </c>
      <c r="G12" s="16" t="s">
        <v>67</v>
      </c>
      <c r="H12" s="16" t="s">
        <v>135</v>
      </c>
      <c r="I12" s="36" t="s">
        <v>63</v>
      </c>
      <c r="J12" s="35"/>
      <c r="K12" s="35" t="str">
        <f>"55,0"</f>
        <v>55,0</v>
      </c>
      <c r="L12" s="35" t="str">
        <f>"38,8107"</f>
        <v>38,8107</v>
      </c>
      <c r="M12" s="34" t="s">
        <v>352</v>
      </c>
    </row>
    <row r="13" spans="1:13">
      <c r="A13" s="32" t="s">
        <v>46</v>
      </c>
      <c r="B13" s="31" t="s">
        <v>173</v>
      </c>
      <c r="C13" s="31" t="s">
        <v>174</v>
      </c>
      <c r="D13" s="31" t="s">
        <v>175</v>
      </c>
      <c r="E13" s="31" t="str">
        <f>"0,6913"</f>
        <v>0,6913</v>
      </c>
      <c r="F13" s="31" t="s">
        <v>176</v>
      </c>
      <c r="G13" s="24" t="s">
        <v>67</v>
      </c>
      <c r="H13" s="24" t="s">
        <v>63</v>
      </c>
      <c r="I13" s="24" t="s">
        <v>291</v>
      </c>
      <c r="J13" s="32"/>
      <c r="K13" s="32" t="str">
        <f>"62,5"</f>
        <v>62,5</v>
      </c>
      <c r="L13" s="32" t="str">
        <f>"43,2031"</f>
        <v>43,2031</v>
      </c>
      <c r="M13" s="31" t="s">
        <v>352</v>
      </c>
    </row>
    <row r="14" spans="1:13">
      <c r="B14" s="29" t="s">
        <v>47</v>
      </c>
    </row>
    <row r="15" spans="1:13" ht="16">
      <c r="A15" s="64" t="s">
        <v>88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13">
      <c r="A16" s="35" t="s">
        <v>46</v>
      </c>
      <c r="B16" s="34" t="s">
        <v>180</v>
      </c>
      <c r="C16" s="34" t="s">
        <v>317</v>
      </c>
      <c r="D16" s="34" t="s">
        <v>181</v>
      </c>
      <c r="E16" s="34" t="str">
        <f>"0,6487"</f>
        <v>0,6487</v>
      </c>
      <c r="F16" s="34" t="s">
        <v>176</v>
      </c>
      <c r="G16" s="16" t="s">
        <v>67</v>
      </c>
      <c r="H16" s="16" t="s">
        <v>63</v>
      </c>
      <c r="I16" s="36" t="s">
        <v>278</v>
      </c>
      <c r="J16" s="35"/>
      <c r="K16" s="35" t="str">
        <f>"60,0"</f>
        <v>60,0</v>
      </c>
      <c r="L16" s="35" t="str">
        <f>"38,9220"</f>
        <v>38,9220</v>
      </c>
      <c r="M16" s="34" t="s">
        <v>318</v>
      </c>
    </row>
    <row r="17" spans="1:13">
      <c r="A17" s="32" t="s">
        <v>46</v>
      </c>
      <c r="B17" s="31" t="s">
        <v>183</v>
      </c>
      <c r="C17" s="31" t="s">
        <v>184</v>
      </c>
      <c r="D17" s="31" t="s">
        <v>178</v>
      </c>
      <c r="E17" s="31" t="str">
        <f>"0,6482"</f>
        <v>0,6482</v>
      </c>
      <c r="F17" s="31" t="s">
        <v>176</v>
      </c>
      <c r="G17" s="33" t="s">
        <v>67</v>
      </c>
      <c r="H17" s="24" t="s">
        <v>136</v>
      </c>
      <c r="I17" s="24" t="s">
        <v>278</v>
      </c>
      <c r="J17" s="32"/>
      <c r="K17" s="32" t="str">
        <f>"65,0"</f>
        <v>65,0</v>
      </c>
      <c r="L17" s="32" t="str">
        <f>"42,1330"</f>
        <v>42,1330</v>
      </c>
      <c r="M17" s="31" t="s">
        <v>352</v>
      </c>
    </row>
    <row r="18" spans="1:13">
      <c r="B18" s="29" t="s">
        <v>47</v>
      </c>
    </row>
    <row r="19" spans="1:13" ht="16">
      <c r="A19" s="64" t="s">
        <v>12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pans="1:13">
      <c r="A20" s="35" t="s">
        <v>46</v>
      </c>
      <c r="B20" s="34" t="s">
        <v>230</v>
      </c>
      <c r="C20" s="34" t="s">
        <v>231</v>
      </c>
      <c r="D20" s="34" t="s">
        <v>232</v>
      </c>
      <c r="E20" s="34" t="str">
        <f>"0,6269"</f>
        <v>0,6269</v>
      </c>
      <c r="F20" s="34" t="s">
        <v>222</v>
      </c>
      <c r="G20" s="16" t="s">
        <v>134</v>
      </c>
      <c r="H20" s="36" t="s">
        <v>135</v>
      </c>
      <c r="I20" s="16" t="s">
        <v>135</v>
      </c>
      <c r="J20" s="35"/>
      <c r="K20" s="35" t="str">
        <f>"55,0"</f>
        <v>55,0</v>
      </c>
      <c r="L20" s="35" t="str">
        <f>"34,4768"</f>
        <v>34,4768</v>
      </c>
      <c r="M20" s="34" t="s">
        <v>319</v>
      </c>
    </row>
    <row r="21" spans="1:13">
      <c r="A21" s="32" t="s">
        <v>207</v>
      </c>
      <c r="B21" s="31" t="s">
        <v>292</v>
      </c>
      <c r="C21" s="31" t="s">
        <v>293</v>
      </c>
      <c r="D21" s="31" t="s">
        <v>294</v>
      </c>
      <c r="E21" s="31" t="str">
        <f>"0,6157"</f>
        <v>0,6157</v>
      </c>
      <c r="F21" s="31" t="s">
        <v>176</v>
      </c>
      <c r="G21" s="24" t="s">
        <v>135</v>
      </c>
      <c r="H21" s="33" t="s">
        <v>278</v>
      </c>
      <c r="I21" s="33" t="s">
        <v>278</v>
      </c>
      <c r="J21" s="32"/>
      <c r="K21" s="32" t="str">
        <f>"55,0"</f>
        <v>55,0</v>
      </c>
      <c r="L21" s="32" t="str">
        <f>"33,8635"</f>
        <v>33,8635</v>
      </c>
      <c r="M21" s="31" t="s">
        <v>352</v>
      </c>
    </row>
    <row r="22" spans="1:13">
      <c r="B22" s="29" t="s">
        <v>47</v>
      </c>
    </row>
    <row r="23" spans="1:13">
      <c r="B23" s="29" t="s">
        <v>47</v>
      </c>
    </row>
    <row r="24" spans="1:13">
      <c r="B24" s="29" t="s">
        <v>47</v>
      </c>
    </row>
    <row r="25" spans="1:13" ht="18">
      <c r="B25" s="43" t="s">
        <v>37</v>
      </c>
      <c r="C25" s="43"/>
    </row>
    <row r="26" spans="1:13" ht="16">
      <c r="B26" s="27" t="s">
        <v>38</v>
      </c>
      <c r="C26" s="27"/>
    </row>
    <row r="27" spans="1:13" ht="14">
      <c r="B27" s="44"/>
      <c r="C27" s="44" t="s">
        <v>39</v>
      </c>
    </row>
    <row r="28" spans="1:13" ht="14">
      <c r="B28" s="45" t="s">
        <v>40</v>
      </c>
      <c r="C28" s="45" t="s">
        <v>41</v>
      </c>
      <c r="D28" s="45" t="s">
        <v>244</v>
      </c>
      <c r="E28" s="45" t="s">
        <v>160</v>
      </c>
      <c r="F28" s="45" t="s">
        <v>43</v>
      </c>
    </row>
    <row r="29" spans="1:13">
      <c r="B29" s="29" t="s">
        <v>285</v>
      </c>
      <c r="C29" s="29" t="s">
        <v>39</v>
      </c>
      <c r="D29" s="30" t="s">
        <v>295</v>
      </c>
      <c r="E29" s="30" t="s">
        <v>134</v>
      </c>
      <c r="F29" s="30" t="s">
        <v>296</v>
      </c>
    </row>
    <row r="30" spans="1:13">
      <c r="B30" s="29" t="s">
        <v>173</v>
      </c>
      <c r="C30" s="29" t="s">
        <v>39</v>
      </c>
      <c r="D30" s="30" t="s">
        <v>297</v>
      </c>
      <c r="E30" s="30" t="s">
        <v>291</v>
      </c>
      <c r="F30" s="30" t="s">
        <v>298</v>
      </c>
    </row>
    <row r="31" spans="1:13">
      <c r="B31" s="29" t="s">
        <v>183</v>
      </c>
      <c r="C31" s="29" t="s">
        <v>39</v>
      </c>
      <c r="D31" s="30" t="s">
        <v>111</v>
      </c>
      <c r="E31" s="30" t="s">
        <v>278</v>
      </c>
      <c r="F31" s="30" t="s">
        <v>299</v>
      </c>
      <c r="G31" s="28"/>
      <c r="H31" s="28"/>
      <c r="I31" s="28"/>
      <c r="J31" s="28"/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A19:L19"/>
    <mergeCell ref="L3:L4"/>
    <mergeCell ref="M3:M4"/>
    <mergeCell ref="A5:L5"/>
    <mergeCell ref="A8:L8"/>
    <mergeCell ref="A11:L11"/>
    <mergeCell ref="A1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5">
    <pageSetUpPr fitToPage="1"/>
  </sheetPr>
  <dimension ref="A1:U11"/>
  <sheetViews>
    <sheetView zoomScaleNormal="100"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23.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1.5" style="6" bestFit="1" customWidth="1"/>
    <col min="7" max="9" width="5.5" style="7" bestFit="1" customWidth="1"/>
    <col min="10" max="10" width="4.83203125" style="7" bestFit="1" customWidth="1"/>
    <col min="11" max="13" width="5.5" style="7" bestFit="1" customWidth="1"/>
    <col min="14" max="14" width="4.83203125" style="7" bestFit="1" customWidth="1"/>
    <col min="15" max="17" width="5.5" style="7" bestFit="1" customWidth="1"/>
    <col min="18" max="18" width="4.83203125" style="7" bestFit="1" customWidth="1"/>
    <col min="19" max="19" width="7.83203125" style="7" bestFit="1" customWidth="1"/>
    <col min="20" max="20" width="8.5" style="7" bestFit="1" customWidth="1"/>
    <col min="21" max="21" width="15.5" style="6" bestFit="1" customWidth="1"/>
    <col min="22" max="16384" width="9.1640625" style="3"/>
  </cols>
  <sheetData>
    <row r="1" spans="1:21" s="2" customFormat="1" ht="29" customHeight="1">
      <c r="A1" s="65" t="s">
        <v>331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62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48</v>
      </c>
      <c r="B3" s="77" t="s">
        <v>0</v>
      </c>
      <c r="C3" s="74" t="s">
        <v>5</v>
      </c>
      <c r="D3" s="74" t="s">
        <v>6</v>
      </c>
      <c r="E3" s="76" t="s">
        <v>8</v>
      </c>
      <c r="F3" s="76" t="s">
        <v>7</v>
      </c>
      <c r="G3" s="76" t="s">
        <v>9</v>
      </c>
      <c r="H3" s="76"/>
      <c r="I3" s="76"/>
      <c r="J3" s="76"/>
      <c r="K3" s="76" t="s">
        <v>10</v>
      </c>
      <c r="L3" s="76"/>
      <c r="M3" s="76"/>
      <c r="N3" s="76"/>
      <c r="O3" s="76" t="s">
        <v>11</v>
      </c>
      <c r="P3" s="76"/>
      <c r="Q3" s="76"/>
      <c r="R3" s="76"/>
      <c r="S3" s="76" t="s">
        <v>1</v>
      </c>
      <c r="T3" s="76" t="s">
        <v>3</v>
      </c>
      <c r="U3" s="59" t="s">
        <v>2</v>
      </c>
    </row>
    <row r="4" spans="1:21" s="1" customFormat="1" ht="21" customHeight="1" thickBot="1">
      <c r="A4" s="73"/>
      <c r="B4" s="78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5"/>
      <c r="T4" s="75"/>
      <c r="U4" s="60"/>
    </row>
    <row r="5" spans="1:21" ht="16">
      <c r="A5" s="61" t="s">
        <v>12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1">
      <c r="A6" s="11" t="s">
        <v>46</v>
      </c>
      <c r="B6" s="8" t="s">
        <v>13</v>
      </c>
      <c r="C6" s="8" t="s">
        <v>14</v>
      </c>
      <c r="D6" s="8" t="s">
        <v>15</v>
      </c>
      <c r="E6" s="8" t="str">
        <f>"0,6122"</f>
        <v>0,6122</v>
      </c>
      <c r="F6" s="8" t="s">
        <v>338</v>
      </c>
      <c r="G6" s="9" t="s">
        <v>16</v>
      </c>
      <c r="H6" s="9" t="s">
        <v>17</v>
      </c>
      <c r="I6" s="10" t="s">
        <v>18</v>
      </c>
      <c r="J6" s="11"/>
      <c r="K6" s="9" t="s">
        <v>19</v>
      </c>
      <c r="L6" s="9" t="s">
        <v>20</v>
      </c>
      <c r="M6" s="9" t="s">
        <v>21</v>
      </c>
      <c r="N6" s="11"/>
      <c r="O6" s="10" t="s">
        <v>22</v>
      </c>
      <c r="P6" s="9" t="s">
        <v>22</v>
      </c>
      <c r="Q6" s="10" t="s">
        <v>23</v>
      </c>
      <c r="R6" s="11"/>
      <c r="S6" s="11" t="str">
        <f>"742,5"</f>
        <v>742,5</v>
      </c>
      <c r="T6" s="11" t="str">
        <f>"454,5956"</f>
        <v>454,5956</v>
      </c>
      <c r="U6" s="8" t="s">
        <v>352</v>
      </c>
    </row>
    <row r="7" spans="1:21">
      <c r="B7" s="6" t="s">
        <v>47</v>
      </c>
    </row>
    <row r="8" spans="1:21" ht="16">
      <c r="A8" s="63" t="s">
        <v>24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1">
      <c r="A9" s="11" t="s">
        <v>46</v>
      </c>
      <c r="B9" s="8" t="s">
        <v>25</v>
      </c>
      <c r="C9" s="8" t="s">
        <v>26</v>
      </c>
      <c r="D9" s="8" t="s">
        <v>27</v>
      </c>
      <c r="E9" s="8" t="str">
        <f>"0,5867"</f>
        <v>0,5867</v>
      </c>
      <c r="F9" s="8" t="s">
        <v>176</v>
      </c>
      <c r="G9" s="9" t="s">
        <v>28</v>
      </c>
      <c r="H9" s="9" t="s">
        <v>29</v>
      </c>
      <c r="I9" s="9" t="s">
        <v>30</v>
      </c>
      <c r="J9" s="11"/>
      <c r="K9" s="9" t="s">
        <v>31</v>
      </c>
      <c r="L9" s="9" t="s">
        <v>32</v>
      </c>
      <c r="M9" s="9" t="s">
        <v>33</v>
      </c>
      <c r="N9" s="11"/>
      <c r="O9" s="9" t="s">
        <v>34</v>
      </c>
      <c r="P9" s="9" t="s">
        <v>35</v>
      </c>
      <c r="Q9" s="9" t="s">
        <v>36</v>
      </c>
      <c r="R9" s="11"/>
      <c r="S9" s="11" t="str">
        <f>"610,0"</f>
        <v>610,0</v>
      </c>
      <c r="T9" s="11" t="str">
        <f>"392,5686"</f>
        <v>392,5686</v>
      </c>
      <c r="U9" s="8" t="s">
        <v>351</v>
      </c>
    </row>
    <row r="10" spans="1:21">
      <c r="B10" s="6" t="s">
        <v>47</v>
      </c>
    </row>
    <row r="11" spans="1:21">
      <c r="B11" s="6" t="s">
        <v>47</v>
      </c>
    </row>
  </sheetData>
  <mergeCells count="15">
    <mergeCell ref="A5:T5"/>
    <mergeCell ref="A8:T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8"/>
  <dimension ref="A1:U14"/>
  <sheetViews>
    <sheetView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19.33203125" style="6" bestFit="1" customWidth="1"/>
    <col min="3" max="3" width="29" style="6" bestFit="1" customWidth="1"/>
    <col min="4" max="4" width="21.5" style="6" bestFit="1" customWidth="1"/>
    <col min="5" max="5" width="10.5" style="6" bestFit="1" customWidth="1"/>
    <col min="6" max="6" width="30.6640625" style="6" bestFit="1" customWidth="1"/>
    <col min="7" max="9" width="5.5" style="7" bestFit="1" customWidth="1"/>
    <col min="10" max="10" width="4.83203125" style="7" bestFit="1" customWidth="1"/>
    <col min="11" max="13" width="4.5" style="7" bestFit="1" customWidth="1"/>
    <col min="14" max="14" width="4.83203125" style="7" bestFit="1" customWidth="1"/>
    <col min="15" max="18" width="5.5" style="7" bestFit="1" customWidth="1"/>
    <col min="19" max="19" width="7.83203125" style="7" bestFit="1" customWidth="1"/>
    <col min="20" max="20" width="8.5" style="7" bestFit="1" customWidth="1"/>
    <col min="21" max="21" width="25" style="6" bestFit="1" customWidth="1"/>
    <col min="22" max="16384" width="9.1640625" style="3"/>
  </cols>
  <sheetData>
    <row r="1" spans="1:21" s="2" customFormat="1" ht="29" customHeight="1">
      <c r="A1" s="65" t="s">
        <v>330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62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48</v>
      </c>
      <c r="B3" s="77" t="s">
        <v>0</v>
      </c>
      <c r="C3" s="74" t="s">
        <v>5</v>
      </c>
      <c r="D3" s="74" t="s">
        <v>6</v>
      </c>
      <c r="E3" s="76" t="s">
        <v>8</v>
      </c>
      <c r="F3" s="76" t="s">
        <v>7</v>
      </c>
      <c r="G3" s="76" t="s">
        <v>9</v>
      </c>
      <c r="H3" s="76"/>
      <c r="I3" s="76"/>
      <c r="J3" s="76"/>
      <c r="K3" s="76" t="s">
        <v>10</v>
      </c>
      <c r="L3" s="76"/>
      <c r="M3" s="76"/>
      <c r="N3" s="76"/>
      <c r="O3" s="76" t="s">
        <v>11</v>
      </c>
      <c r="P3" s="76"/>
      <c r="Q3" s="76"/>
      <c r="R3" s="76"/>
      <c r="S3" s="76" t="s">
        <v>1</v>
      </c>
      <c r="T3" s="76" t="s">
        <v>3</v>
      </c>
      <c r="U3" s="59" t="s">
        <v>2</v>
      </c>
    </row>
    <row r="4" spans="1:21" s="1" customFormat="1" ht="21" customHeight="1" thickBot="1">
      <c r="A4" s="73"/>
      <c r="B4" s="78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5"/>
      <c r="T4" s="75"/>
      <c r="U4" s="60"/>
    </row>
    <row r="5" spans="1:21" ht="16">
      <c r="A5" s="61" t="s">
        <v>127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1">
      <c r="A6" s="11" t="s">
        <v>46</v>
      </c>
      <c r="B6" s="8" t="s">
        <v>128</v>
      </c>
      <c r="C6" s="8" t="s">
        <v>306</v>
      </c>
      <c r="D6" s="8" t="s">
        <v>129</v>
      </c>
      <c r="E6" s="8" t="str">
        <f>"1,1076"</f>
        <v>1,1076</v>
      </c>
      <c r="F6" s="8" t="s">
        <v>176</v>
      </c>
      <c r="G6" s="9" t="s">
        <v>130</v>
      </c>
      <c r="H6" s="9" t="s">
        <v>69</v>
      </c>
      <c r="I6" s="9" t="s">
        <v>74</v>
      </c>
      <c r="J6" s="11"/>
      <c r="K6" s="10" t="s">
        <v>64</v>
      </c>
      <c r="L6" s="9" t="s">
        <v>64</v>
      </c>
      <c r="M6" s="10" t="s">
        <v>131</v>
      </c>
      <c r="N6" s="11"/>
      <c r="O6" s="9" t="s">
        <v>92</v>
      </c>
      <c r="P6" s="9" t="s">
        <v>106</v>
      </c>
      <c r="Q6" s="10" t="s">
        <v>79</v>
      </c>
      <c r="R6" s="11"/>
      <c r="S6" s="11" t="str">
        <f>"325,0"</f>
        <v>325,0</v>
      </c>
      <c r="T6" s="11" t="str">
        <f>"359,9700"</f>
        <v>359,9700</v>
      </c>
      <c r="U6" s="8" t="s">
        <v>339</v>
      </c>
    </row>
    <row r="7" spans="1:21">
      <c r="B7" s="6" t="s">
        <v>47</v>
      </c>
    </row>
    <row r="8" spans="1:21" ht="16">
      <c r="A8" s="63" t="s">
        <v>59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1">
      <c r="A9" s="11" t="s">
        <v>46</v>
      </c>
      <c r="B9" s="8" t="s">
        <v>132</v>
      </c>
      <c r="C9" s="8" t="s">
        <v>224</v>
      </c>
      <c r="D9" s="8" t="s">
        <v>133</v>
      </c>
      <c r="E9" s="8" t="str">
        <f>"0,9984"</f>
        <v>0,9984</v>
      </c>
      <c r="F9" s="8" t="s">
        <v>176</v>
      </c>
      <c r="G9" s="9" t="s">
        <v>130</v>
      </c>
      <c r="H9" s="9" t="s">
        <v>69</v>
      </c>
      <c r="I9" s="9" t="s">
        <v>74</v>
      </c>
      <c r="J9" s="11"/>
      <c r="K9" s="9" t="s">
        <v>134</v>
      </c>
      <c r="L9" s="9" t="s">
        <v>135</v>
      </c>
      <c r="M9" s="9" t="s">
        <v>136</v>
      </c>
      <c r="N9" s="11"/>
      <c r="O9" s="9" t="s">
        <v>100</v>
      </c>
      <c r="P9" s="9" t="s">
        <v>92</v>
      </c>
      <c r="Q9" s="9" t="s">
        <v>101</v>
      </c>
      <c r="R9" s="11"/>
      <c r="S9" s="11" t="str">
        <f>"307,5"</f>
        <v>307,5</v>
      </c>
      <c r="T9" s="11" t="str">
        <f>"306,9926"</f>
        <v>306,9926</v>
      </c>
      <c r="U9" s="8" t="s">
        <v>339</v>
      </c>
    </row>
    <row r="10" spans="1:21">
      <c r="B10" s="6" t="s">
        <v>47</v>
      </c>
    </row>
    <row r="11" spans="1:21" ht="16">
      <c r="A11" s="63" t="s">
        <v>81</v>
      </c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1">
      <c r="A12" s="11" t="s">
        <v>46</v>
      </c>
      <c r="B12" s="8" t="s">
        <v>137</v>
      </c>
      <c r="C12" s="8" t="s">
        <v>307</v>
      </c>
      <c r="D12" s="8" t="s">
        <v>138</v>
      </c>
      <c r="E12" s="8" t="str">
        <f>"0,8436"</f>
        <v>0,8436</v>
      </c>
      <c r="F12" s="8" t="s">
        <v>176</v>
      </c>
      <c r="G12" s="9" t="s">
        <v>92</v>
      </c>
      <c r="H12" s="10" t="s">
        <v>106</v>
      </c>
      <c r="I12" s="9" t="s">
        <v>106</v>
      </c>
      <c r="J12" s="11"/>
      <c r="K12" s="9" t="s">
        <v>139</v>
      </c>
      <c r="L12" s="9" t="s">
        <v>64</v>
      </c>
      <c r="M12" s="10" t="s">
        <v>131</v>
      </c>
      <c r="N12" s="11"/>
      <c r="O12" s="9" t="s">
        <v>92</v>
      </c>
      <c r="P12" s="9" t="s">
        <v>106</v>
      </c>
      <c r="Q12" s="9" t="s">
        <v>79</v>
      </c>
      <c r="R12" s="10" t="s">
        <v>140</v>
      </c>
      <c r="S12" s="11" t="str">
        <f>"355,0"</f>
        <v>355,0</v>
      </c>
      <c r="T12" s="11" t="str">
        <f>"299,4957"</f>
        <v>299,4957</v>
      </c>
      <c r="U12" s="8" t="s">
        <v>339</v>
      </c>
    </row>
    <row r="13" spans="1:21">
      <c r="B13" s="6" t="s">
        <v>47</v>
      </c>
    </row>
    <row r="14" spans="1:21">
      <c r="B14" s="6" t="s">
        <v>47</v>
      </c>
    </row>
  </sheetData>
  <mergeCells count="16">
    <mergeCell ref="A5:T5"/>
    <mergeCell ref="A8:T8"/>
    <mergeCell ref="A11:T11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"/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18.3320312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30.6640625" style="6" bestFit="1" customWidth="1"/>
    <col min="7" max="9" width="5.5" style="7" bestFit="1" customWidth="1"/>
    <col min="10" max="10" width="4.83203125" style="7" bestFit="1" customWidth="1"/>
    <col min="11" max="13" width="5.5" style="7" bestFit="1" customWidth="1"/>
    <col min="14" max="14" width="4.83203125" style="7" bestFit="1" customWidth="1"/>
    <col min="15" max="17" width="5.5" style="7" bestFit="1" customWidth="1"/>
    <col min="18" max="18" width="4.83203125" style="7" bestFit="1" customWidth="1"/>
    <col min="19" max="19" width="7.83203125" style="7" bestFit="1" customWidth="1"/>
    <col min="20" max="20" width="8.5" style="7" bestFit="1" customWidth="1"/>
    <col min="21" max="21" width="19.83203125" style="6" customWidth="1"/>
    <col min="22" max="16384" width="9.1640625" style="3"/>
  </cols>
  <sheetData>
    <row r="1" spans="1:21" s="2" customFormat="1" ht="29" customHeight="1">
      <c r="A1" s="65" t="s">
        <v>329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62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48</v>
      </c>
      <c r="B3" s="77" t="s">
        <v>0</v>
      </c>
      <c r="C3" s="74" t="s">
        <v>5</v>
      </c>
      <c r="D3" s="74" t="s">
        <v>6</v>
      </c>
      <c r="E3" s="76" t="s">
        <v>8</v>
      </c>
      <c r="F3" s="76" t="s">
        <v>7</v>
      </c>
      <c r="G3" s="76" t="s">
        <v>9</v>
      </c>
      <c r="H3" s="76"/>
      <c r="I3" s="76"/>
      <c r="J3" s="76"/>
      <c r="K3" s="76" t="s">
        <v>10</v>
      </c>
      <c r="L3" s="76"/>
      <c r="M3" s="76"/>
      <c r="N3" s="76"/>
      <c r="O3" s="76" t="s">
        <v>11</v>
      </c>
      <c r="P3" s="76"/>
      <c r="Q3" s="76"/>
      <c r="R3" s="76"/>
      <c r="S3" s="76" t="s">
        <v>1</v>
      </c>
      <c r="T3" s="76" t="s">
        <v>3</v>
      </c>
      <c r="U3" s="59" t="s">
        <v>2</v>
      </c>
    </row>
    <row r="4" spans="1:21" s="1" customFormat="1" ht="21" customHeight="1" thickBot="1">
      <c r="A4" s="73"/>
      <c r="B4" s="78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5"/>
      <c r="T4" s="75"/>
      <c r="U4" s="60"/>
    </row>
    <row r="5" spans="1:21" ht="16">
      <c r="A5" s="61" t="s">
        <v>81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1">
      <c r="A6" s="11" t="s">
        <v>46</v>
      </c>
      <c r="B6" s="8" t="s">
        <v>117</v>
      </c>
      <c r="C6" s="8" t="s">
        <v>118</v>
      </c>
      <c r="D6" s="8" t="s">
        <v>119</v>
      </c>
      <c r="E6" s="8" t="str">
        <f>"0,6940"</f>
        <v>0,6940</v>
      </c>
      <c r="F6" s="8" t="s">
        <v>176</v>
      </c>
      <c r="G6" s="9" t="s">
        <v>23</v>
      </c>
      <c r="H6" s="9" t="s">
        <v>120</v>
      </c>
      <c r="I6" s="10" t="s">
        <v>121</v>
      </c>
      <c r="J6" s="11"/>
      <c r="K6" s="9" t="s">
        <v>19</v>
      </c>
      <c r="L6" s="9" t="s">
        <v>28</v>
      </c>
      <c r="M6" s="11"/>
      <c r="N6" s="11"/>
      <c r="O6" s="9" t="s">
        <v>16</v>
      </c>
      <c r="P6" s="9" t="s">
        <v>122</v>
      </c>
      <c r="Q6" s="10" t="s">
        <v>17</v>
      </c>
      <c r="R6" s="11"/>
      <c r="S6" s="11" t="str">
        <f>"755,0"</f>
        <v>755,0</v>
      </c>
      <c r="T6" s="11" t="str">
        <f>"523,9700"</f>
        <v>523,9700</v>
      </c>
      <c r="U6" s="8" t="s">
        <v>340</v>
      </c>
    </row>
    <row r="7" spans="1:21">
      <c r="B7" s="6" t="s">
        <v>47</v>
      </c>
    </row>
    <row r="8" spans="1:21" ht="16">
      <c r="A8" s="63" t="s">
        <v>24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1">
      <c r="A9" s="11" t="s">
        <v>46</v>
      </c>
      <c r="B9" s="8" t="s">
        <v>123</v>
      </c>
      <c r="C9" s="8" t="s">
        <v>124</v>
      </c>
      <c r="D9" s="8" t="s">
        <v>125</v>
      </c>
      <c r="E9" s="8" t="str">
        <f>"0,5825"</f>
        <v>0,5825</v>
      </c>
      <c r="F9" s="8" t="s">
        <v>176</v>
      </c>
      <c r="G9" s="9" t="s">
        <v>22</v>
      </c>
      <c r="H9" s="10" t="s">
        <v>126</v>
      </c>
      <c r="I9" s="10" t="s">
        <v>120</v>
      </c>
      <c r="J9" s="11"/>
      <c r="K9" s="9" t="s">
        <v>31</v>
      </c>
      <c r="L9" s="10" t="s">
        <v>33</v>
      </c>
      <c r="M9" s="9" t="s">
        <v>33</v>
      </c>
      <c r="N9" s="11"/>
      <c r="O9" s="9" t="s">
        <v>16</v>
      </c>
      <c r="P9" s="10" t="s">
        <v>17</v>
      </c>
      <c r="Q9" s="11"/>
      <c r="R9" s="11"/>
      <c r="S9" s="11" t="str">
        <f>"700,0"</f>
        <v>700,0</v>
      </c>
      <c r="T9" s="11" t="str">
        <f>"407,7850"</f>
        <v>407,7850</v>
      </c>
      <c r="U9" s="8" t="s">
        <v>321</v>
      </c>
    </row>
    <row r="10" spans="1:21">
      <c r="B10" s="6" t="s">
        <v>47</v>
      </c>
    </row>
  </sheetData>
  <mergeCells count="15">
    <mergeCell ref="A5:T5"/>
    <mergeCell ref="A8:T8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0"/>
  <dimension ref="A1:M45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9.5" style="6" bestFit="1" customWidth="1"/>
    <col min="3" max="3" width="29" style="6" bestFit="1" customWidth="1"/>
    <col min="4" max="4" width="21.5" style="6" bestFit="1" customWidth="1"/>
    <col min="5" max="5" width="10.5" style="6" bestFit="1" customWidth="1"/>
    <col min="6" max="6" width="33" style="6" bestFit="1" customWidth="1"/>
    <col min="7" max="9" width="5.5" style="7" bestFit="1" customWidth="1"/>
    <col min="10" max="10" width="4.83203125" style="7" bestFit="1" customWidth="1"/>
    <col min="11" max="11" width="11.33203125" style="47" bestFit="1" customWidth="1"/>
    <col min="12" max="12" width="8.5" style="7" bestFit="1" customWidth="1"/>
    <col min="13" max="13" width="29.33203125" style="6" bestFit="1" customWidth="1"/>
    <col min="14" max="16384" width="9.1640625" style="3"/>
  </cols>
  <sheetData>
    <row r="1" spans="1:13" s="2" customFormat="1" ht="29" customHeight="1">
      <c r="A1" s="65" t="s">
        <v>328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2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48</v>
      </c>
      <c r="B3" s="77" t="s">
        <v>0</v>
      </c>
      <c r="C3" s="74" t="s">
        <v>5</v>
      </c>
      <c r="D3" s="74" t="s">
        <v>6</v>
      </c>
      <c r="E3" s="76" t="s">
        <v>8</v>
      </c>
      <c r="F3" s="76" t="s">
        <v>7</v>
      </c>
      <c r="G3" s="76" t="s">
        <v>10</v>
      </c>
      <c r="H3" s="76"/>
      <c r="I3" s="76"/>
      <c r="J3" s="76"/>
      <c r="K3" s="79" t="s">
        <v>160</v>
      </c>
      <c r="L3" s="76" t="s">
        <v>3</v>
      </c>
      <c r="M3" s="59" t="s">
        <v>2</v>
      </c>
    </row>
    <row r="4" spans="1:13" s="1" customFormat="1" ht="21" customHeight="1" thickBot="1">
      <c r="A4" s="73"/>
      <c r="B4" s="78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80"/>
      <c r="L4" s="75"/>
      <c r="M4" s="60"/>
    </row>
    <row r="5" spans="1:13" ht="16">
      <c r="A5" s="61" t="s">
        <v>81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11" t="s">
        <v>46</v>
      </c>
      <c r="B6" s="8" t="s">
        <v>137</v>
      </c>
      <c r="C6" s="8" t="s">
        <v>307</v>
      </c>
      <c r="D6" s="8" t="s">
        <v>138</v>
      </c>
      <c r="E6" s="8" t="str">
        <f>"0,8436"</f>
        <v>0,8436</v>
      </c>
      <c r="F6" s="8" t="s">
        <v>176</v>
      </c>
      <c r="G6" s="9" t="s">
        <v>139</v>
      </c>
      <c r="H6" s="9" t="s">
        <v>64</v>
      </c>
      <c r="I6" s="10" t="s">
        <v>131</v>
      </c>
      <c r="J6" s="11"/>
      <c r="K6" s="46" t="str">
        <f>"70,0"</f>
        <v>70,0</v>
      </c>
      <c r="L6" s="11" t="str">
        <f>"59,0555"</f>
        <v>59,0555</v>
      </c>
      <c r="M6" s="8" t="s">
        <v>339</v>
      </c>
    </row>
    <row r="7" spans="1:13">
      <c r="B7" s="6" t="s">
        <v>47</v>
      </c>
    </row>
    <row r="8" spans="1:13" ht="16">
      <c r="A8" s="63" t="s">
        <v>70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3">
      <c r="A9" s="11" t="s">
        <v>46</v>
      </c>
      <c r="B9" s="8" t="s">
        <v>71</v>
      </c>
      <c r="C9" s="8" t="s">
        <v>72</v>
      </c>
      <c r="D9" s="8" t="s">
        <v>73</v>
      </c>
      <c r="E9" s="8" t="str">
        <f>"0,9043"</f>
        <v>0,9043</v>
      </c>
      <c r="F9" s="8" t="s">
        <v>338</v>
      </c>
      <c r="G9" s="9" t="s">
        <v>77</v>
      </c>
      <c r="H9" s="9" t="s">
        <v>78</v>
      </c>
      <c r="I9" s="10" t="s">
        <v>68</v>
      </c>
      <c r="J9" s="11"/>
      <c r="K9" s="46" t="str">
        <f>"95,0"</f>
        <v>95,0</v>
      </c>
      <c r="L9" s="11" t="str">
        <f>"85,9132"</f>
        <v>85,9132</v>
      </c>
      <c r="M9" s="8" t="s">
        <v>335</v>
      </c>
    </row>
    <row r="10" spans="1:13">
      <c r="B10" s="6" t="s">
        <v>47</v>
      </c>
    </row>
    <row r="11" spans="1:13" ht="16">
      <c r="A11" s="63" t="s">
        <v>161</v>
      </c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3">
      <c r="A12" s="18" t="s">
        <v>46</v>
      </c>
      <c r="B12" s="15" t="s">
        <v>162</v>
      </c>
      <c r="C12" s="15" t="s">
        <v>308</v>
      </c>
      <c r="D12" s="15" t="s">
        <v>163</v>
      </c>
      <c r="E12" s="15" t="str">
        <f>"0,7531"</f>
        <v>0,7531</v>
      </c>
      <c r="F12" s="15" t="s">
        <v>176</v>
      </c>
      <c r="G12" s="16" t="s">
        <v>54</v>
      </c>
      <c r="H12" s="16" t="s">
        <v>65</v>
      </c>
      <c r="I12" s="17" t="s">
        <v>99</v>
      </c>
      <c r="J12" s="18"/>
      <c r="K12" s="50" t="str">
        <f>"80,0"</f>
        <v>80,0</v>
      </c>
      <c r="L12" s="18" t="str">
        <f>"60,2520"</f>
        <v>60,2520</v>
      </c>
      <c r="M12" s="15" t="s">
        <v>341</v>
      </c>
    </row>
    <row r="13" spans="1:13">
      <c r="A13" s="22" t="s">
        <v>46</v>
      </c>
      <c r="B13" s="19" t="s">
        <v>164</v>
      </c>
      <c r="C13" s="19" t="s">
        <v>165</v>
      </c>
      <c r="D13" s="19" t="s">
        <v>166</v>
      </c>
      <c r="E13" s="19" t="str">
        <f>"0,7513"</f>
        <v>0,7513</v>
      </c>
      <c r="F13" s="19" t="s">
        <v>343</v>
      </c>
      <c r="G13" s="20" t="s">
        <v>86</v>
      </c>
      <c r="H13" s="21" t="s">
        <v>69</v>
      </c>
      <c r="I13" s="20" t="s">
        <v>69</v>
      </c>
      <c r="J13" s="22"/>
      <c r="K13" s="51" t="str">
        <f>"110,0"</f>
        <v>110,0</v>
      </c>
      <c r="L13" s="22" t="str">
        <f>"82,6375"</f>
        <v>82,6375</v>
      </c>
      <c r="M13" s="19" t="s">
        <v>337</v>
      </c>
    </row>
    <row r="14" spans="1:13">
      <c r="A14" s="22" t="s">
        <v>207</v>
      </c>
      <c r="B14" s="19" t="s">
        <v>167</v>
      </c>
      <c r="C14" s="19" t="s">
        <v>168</v>
      </c>
      <c r="D14" s="19" t="s">
        <v>169</v>
      </c>
      <c r="E14" s="19" t="str">
        <f>"0,7484"</f>
        <v>0,7484</v>
      </c>
      <c r="F14" s="19" t="s">
        <v>144</v>
      </c>
      <c r="G14" s="21" t="s">
        <v>68</v>
      </c>
      <c r="H14" s="20" t="s">
        <v>68</v>
      </c>
      <c r="I14" s="20" t="s">
        <v>98</v>
      </c>
      <c r="J14" s="22"/>
      <c r="K14" s="51" t="str">
        <f>"105,0"</f>
        <v>105,0</v>
      </c>
      <c r="L14" s="22" t="str">
        <f>"78,5820"</f>
        <v>78,5820</v>
      </c>
      <c r="M14" s="19" t="s">
        <v>352</v>
      </c>
    </row>
    <row r="15" spans="1:13">
      <c r="A15" s="25" t="s">
        <v>46</v>
      </c>
      <c r="B15" s="23" t="s">
        <v>170</v>
      </c>
      <c r="C15" s="23" t="s">
        <v>171</v>
      </c>
      <c r="D15" s="23" t="s">
        <v>172</v>
      </c>
      <c r="E15" s="23" t="str">
        <f>"0,7590"</f>
        <v>0,7590</v>
      </c>
      <c r="F15" s="23" t="s">
        <v>343</v>
      </c>
      <c r="G15" s="24" t="s">
        <v>130</v>
      </c>
      <c r="H15" s="24" t="s">
        <v>98</v>
      </c>
      <c r="I15" s="25"/>
      <c r="J15" s="25"/>
      <c r="K15" s="52" t="str">
        <f>"105,0"</f>
        <v>105,0</v>
      </c>
      <c r="L15" s="25" t="str">
        <f>"111,0151"</f>
        <v>111,0151</v>
      </c>
      <c r="M15" s="23" t="s">
        <v>337</v>
      </c>
    </row>
    <row r="16" spans="1:13">
      <c r="B16" s="6" t="s">
        <v>47</v>
      </c>
    </row>
    <row r="17" spans="1:13" ht="16">
      <c r="A17" s="63" t="s">
        <v>81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3">
      <c r="A18" s="11" t="s">
        <v>46</v>
      </c>
      <c r="B18" s="8" t="s">
        <v>173</v>
      </c>
      <c r="C18" s="8" t="s">
        <v>174</v>
      </c>
      <c r="D18" s="8" t="s">
        <v>175</v>
      </c>
      <c r="E18" s="8" t="str">
        <f>"0,6913"</f>
        <v>0,6913</v>
      </c>
      <c r="F18" s="8" t="s">
        <v>176</v>
      </c>
      <c r="G18" s="9" t="s">
        <v>92</v>
      </c>
      <c r="H18" s="10" t="s">
        <v>101</v>
      </c>
      <c r="I18" s="10" t="s">
        <v>101</v>
      </c>
      <c r="J18" s="11"/>
      <c r="K18" s="46" t="str">
        <f>"130,0"</f>
        <v>130,0</v>
      </c>
      <c r="L18" s="11" t="str">
        <f>"89,8625"</f>
        <v>89,8625</v>
      </c>
      <c r="M18" s="8" t="s">
        <v>352</v>
      </c>
    </row>
    <row r="19" spans="1:13">
      <c r="B19" s="6" t="s">
        <v>47</v>
      </c>
    </row>
    <row r="20" spans="1:13" ht="16">
      <c r="A20" s="63" t="s">
        <v>88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pans="1:13">
      <c r="A21" s="18" t="s">
        <v>46</v>
      </c>
      <c r="B21" s="15" t="s">
        <v>177</v>
      </c>
      <c r="C21" s="15" t="s">
        <v>309</v>
      </c>
      <c r="D21" s="15" t="s">
        <v>178</v>
      </c>
      <c r="E21" s="15" t="str">
        <f>"0,6482"</f>
        <v>0,6482</v>
      </c>
      <c r="F21" s="15" t="s">
        <v>179</v>
      </c>
      <c r="G21" s="16" t="s">
        <v>79</v>
      </c>
      <c r="H21" s="16" t="s">
        <v>33</v>
      </c>
      <c r="I21" s="16" t="s">
        <v>149</v>
      </c>
      <c r="J21" s="18"/>
      <c r="K21" s="50" t="str">
        <f>"167,5"</f>
        <v>167,5</v>
      </c>
      <c r="L21" s="18" t="str">
        <f>"108,5735"</f>
        <v>108,5735</v>
      </c>
      <c r="M21" s="15" t="s">
        <v>344</v>
      </c>
    </row>
    <row r="22" spans="1:13">
      <c r="A22" s="22" t="s">
        <v>208</v>
      </c>
      <c r="B22" s="19" t="s">
        <v>180</v>
      </c>
      <c r="C22" s="19" t="s">
        <v>310</v>
      </c>
      <c r="D22" s="19" t="s">
        <v>181</v>
      </c>
      <c r="E22" s="19" t="str">
        <f>"0,6487"</f>
        <v>0,6487</v>
      </c>
      <c r="F22" s="19" t="s">
        <v>176</v>
      </c>
      <c r="G22" s="21" t="s">
        <v>92</v>
      </c>
      <c r="H22" s="21" t="s">
        <v>92</v>
      </c>
      <c r="I22" s="21" t="s">
        <v>92</v>
      </c>
      <c r="J22" s="22"/>
      <c r="K22" s="51">
        <v>0</v>
      </c>
      <c r="L22" s="22" t="str">
        <f>"0,0000"</f>
        <v>0,0000</v>
      </c>
      <c r="M22" s="19" t="s">
        <v>318</v>
      </c>
    </row>
    <row r="23" spans="1:13">
      <c r="A23" s="22" t="s">
        <v>46</v>
      </c>
      <c r="B23" s="19" t="s">
        <v>177</v>
      </c>
      <c r="C23" s="19" t="s">
        <v>182</v>
      </c>
      <c r="D23" s="19" t="s">
        <v>178</v>
      </c>
      <c r="E23" s="19" t="str">
        <f>"0,6482"</f>
        <v>0,6482</v>
      </c>
      <c r="F23" s="19" t="s">
        <v>179</v>
      </c>
      <c r="G23" s="20" t="s">
        <v>79</v>
      </c>
      <c r="H23" s="20" t="s">
        <v>33</v>
      </c>
      <c r="I23" s="20" t="s">
        <v>149</v>
      </c>
      <c r="J23" s="22"/>
      <c r="K23" s="51" t="str">
        <f>"167,5"</f>
        <v>167,5</v>
      </c>
      <c r="L23" s="22" t="str">
        <f>"108,5735"</f>
        <v>108,5735</v>
      </c>
      <c r="M23" s="19" t="s">
        <v>344</v>
      </c>
    </row>
    <row r="24" spans="1:13">
      <c r="A24" s="22" t="s">
        <v>207</v>
      </c>
      <c r="B24" s="19" t="s">
        <v>183</v>
      </c>
      <c r="C24" s="19" t="s">
        <v>184</v>
      </c>
      <c r="D24" s="19" t="s">
        <v>178</v>
      </c>
      <c r="E24" s="19" t="str">
        <f>"0,6482"</f>
        <v>0,6482</v>
      </c>
      <c r="F24" s="19" t="s">
        <v>176</v>
      </c>
      <c r="G24" s="20" t="s">
        <v>106</v>
      </c>
      <c r="H24" s="21" t="s">
        <v>31</v>
      </c>
      <c r="I24" s="21" t="s">
        <v>31</v>
      </c>
      <c r="J24" s="22"/>
      <c r="K24" s="51" t="str">
        <f>"140,0"</f>
        <v>140,0</v>
      </c>
      <c r="L24" s="22" t="str">
        <f>"90,7480"</f>
        <v>90,7480</v>
      </c>
      <c r="M24" s="19" t="s">
        <v>352</v>
      </c>
    </row>
    <row r="25" spans="1:13">
      <c r="A25" s="25" t="s">
        <v>46</v>
      </c>
      <c r="B25" s="23" t="s">
        <v>185</v>
      </c>
      <c r="C25" s="23" t="s">
        <v>186</v>
      </c>
      <c r="D25" s="23" t="s">
        <v>187</v>
      </c>
      <c r="E25" s="23" t="str">
        <f>"0,6844"</f>
        <v>0,6844</v>
      </c>
      <c r="F25" s="23" t="s">
        <v>176</v>
      </c>
      <c r="G25" s="24" t="s">
        <v>145</v>
      </c>
      <c r="H25" s="24" t="s">
        <v>74</v>
      </c>
      <c r="I25" s="25"/>
      <c r="J25" s="25"/>
      <c r="K25" s="52" t="str">
        <f>"115,0"</f>
        <v>115,0</v>
      </c>
      <c r="L25" s="25" t="str">
        <f>"138,2178"</f>
        <v>138,2178</v>
      </c>
      <c r="M25" s="23" t="s">
        <v>337</v>
      </c>
    </row>
    <row r="26" spans="1:13">
      <c r="B26" s="6" t="s">
        <v>47</v>
      </c>
    </row>
    <row r="27" spans="1:13" ht="16">
      <c r="A27" s="63" t="s">
        <v>12</v>
      </c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1:13">
      <c r="A28" s="11" t="s">
        <v>46</v>
      </c>
      <c r="B28" s="8" t="s">
        <v>188</v>
      </c>
      <c r="C28" s="8" t="s">
        <v>189</v>
      </c>
      <c r="D28" s="8" t="s">
        <v>190</v>
      </c>
      <c r="E28" s="8" t="str">
        <f>"0,6145"</f>
        <v>0,6145</v>
      </c>
      <c r="F28" s="8" t="s">
        <v>176</v>
      </c>
      <c r="G28" s="9" t="s">
        <v>140</v>
      </c>
      <c r="H28" s="9" t="s">
        <v>191</v>
      </c>
      <c r="I28" s="11"/>
      <c r="J28" s="11"/>
      <c r="K28" s="46" t="str">
        <f>"175,0"</f>
        <v>175,0</v>
      </c>
      <c r="L28" s="11" t="str">
        <f>"107,5462"</f>
        <v>107,5462</v>
      </c>
      <c r="M28" s="8" t="s">
        <v>192</v>
      </c>
    </row>
    <row r="29" spans="1:13">
      <c r="B29" s="6" t="s">
        <v>47</v>
      </c>
    </row>
    <row r="30" spans="1:13" ht="16">
      <c r="A30" s="63" t="s">
        <v>24</v>
      </c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3">
      <c r="A31" s="18" t="s">
        <v>46</v>
      </c>
      <c r="B31" s="15" t="s">
        <v>193</v>
      </c>
      <c r="C31" s="15" t="s">
        <v>194</v>
      </c>
      <c r="D31" s="15" t="s">
        <v>195</v>
      </c>
      <c r="E31" s="15" t="str">
        <f>"0,5846"</f>
        <v>0,5846</v>
      </c>
      <c r="F31" s="15" t="s">
        <v>176</v>
      </c>
      <c r="G31" s="16" t="s">
        <v>31</v>
      </c>
      <c r="H31" s="16" t="s">
        <v>196</v>
      </c>
      <c r="I31" s="17" t="s">
        <v>153</v>
      </c>
      <c r="J31" s="18"/>
      <c r="K31" s="50" t="str">
        <f>"157,5"</f>
        <v>157,5</v>
      </c>
      <c r="L31" s="18" t="str">
        <f>"92,0666"</f>
        <v>92,0666</v>
      </c>
      <c r="M31" s="15" t="s">
        <v>339</v>
      </c>
    </row>
    <row r="32" spans="1:13">
      <c r="A32" s="25" t="s">
        <v>207</v>
      </c>
      <c r="B32" s="23" t="s">
        <v>197</v>
      </c>
      <c r="C32" s="23" t="s">
        <v>198</v>
      </c>
      <c r="D32" s="23" t="s">
        <v>199</v>
      </c>
      <c r="E32" s="23" t="str">
        <f>"0,5955"</f>
        <v>0,5955</v>
      </c>
      <c r="F32" s="23" t="s">
        <v>200</v>
      </c>
      <c r="G32" s="24" t="s">
        <v>106</v>
      </c>
      <c r="H32" s="24" t="s">
        <v>31</v>
      </c>
      <c r="I32" s="24" t="s">
        <v>32</v>
      </c>
      <c r="J32" s="25"/>
      <c r="K32" s="52" t="str">
        <f>"155,0"</f>
        <v>155,0</v>
      </c>
      <c r="L32" s="25" t="str">
        <f>"92,3025"</f>
        <v>92,3025</v>
      </c>
      <c r="M32" s="23" t="s">
        <v>337</v>
      </c>
    </row>
    <row r="33" spans="1:13">
      <c r="B33" s="6" t="s">
        <v>47</v>
      </c>
    </row>
    <row r="34" spans="1:13" ht="16">
      <c r="A34" s="63" t="s">
        <v>155</v>
      </c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13">
      <c r="A35" s="11" t="s">
        <v>46</v>
      </c>
      <c r="B35" s="8" t="s">
        <v>201</v>
      </c>
      <c r="C35" s="8" t="s">
        <v>202</v>
      </c>
      <c r="D35" s="8" t="s">
        <v>203</v>
      </c>
      <c r="E35" s="8" t="str">
        <f>"0,5535"</f>
        <v>0,5535</v>
      </c>
      <c r="F35" s="8" t="s">
        <v>343</v>
      </c>
      <c r="G35" s="9" t="s">
        <v>140</v>
      </c>
      <c r="H35" s="9" t="s">
        <v>33</v>
      </c>
      <c r="I35" s="9" t="s">
        <v>87</v>
      </c>
      <c r="J35" s="11"/>
      <c r="K35" s="46" t="str">
        <f>"165,0"</f>
        <v>165,0</v>
      </c>
      <c r="L35" s="11" t="str">
        <f>"91,3275"</f>
        <v>91,3275</v>
      </c>
      <c r="M35" s="8" t="s">
        <v>337</v>
      </c>
    </row>
    <row r="36" spans="1:13">
      <c r="B36" s="6" t="s">
        <v>47</v>
      </c>
    </row>
    <row r="37" spans="1:13">
      <c r="B37" s="6" t="s">
        <v>47</v>
      </c>
    </row>
    <row r="38" spans="1:13">
      <c r="B38" s="6" t="s">
        <v>47</v>
      </c>
      <c r="C38" s="3"/>
      <c r="D38" s="3"/>
      <c r="E38" s="3"/>
      <c r="F38" s="3"/>
    </row>
    <row r="39" spans="1:13" ht="18">
      <c r="B39" s="12" t="s">
        <v>37</v>
      </c>
      <c r="C39" s="12"/>
      <c r="G39" s="3"/>
      <c r="H39" s="3"/>
      <c r="I39" s="3"/>
      <c r="J39" s="3"/>
    </row>
    <row r="40" spans="1:13" ht="16">
      <c r="B40" s="13" t="s">
        <v>38</v>
      </c>
      <c r="C40" s="13"/>
      <c r="G40" s="3"/>
      <c r="H40" s="3"/>
      <c r="I40" s="3"/>
      <c r="J40" s="3"/>
    </row>
    <row r="41" spans="1:13" ht="14">
      <c r="B41" s="14"/>
      <c r="C41" s="14" t="s">
        <v>39</v>
      </c>
      <c r="G41" s="3"/>
      <c r="H41" s="3"/>
      <c r="I41" s="3"/>
      <c r="J41" s="3"/>
    </row>
    <row r="42" spans="1:13" ht="14">
      <c r="B42" s="5" t="s">
        <v>40</v>
      </c>
      <c r="C42" s="5" t="s">
        <v>41</v>
      </c>
      <c r="D42" s="5" t="s">
        <v>244</v>
      </c>
      <c r="E42" s="5" t="s">
        <v>160</v>
      </c>
      <c r="F42" s="5" t="s">
        <v>43</v>
      </c>
      <c r="G42" s="3"/>
      <c r="H42" s="3"/>
      <c r="I42" s="3"/>
      <c r="J42" s="3"/>
    </row>
    <row r="43" spans="1:13">
      <c r="B43" s="6" t="s">
        <v>177</v>
      </c>
      <c r="C43" s="6" t="s">
        <v>39</v>
      </c>
      <c r="D43" s="7" t="s">
        <v>111</v>
      </c>
      <c r="E43" s="7" t="s">
        <v>149</v>
      </c>
      <c r="F43" s="7" t="s">
        <v>204</v>
      </c>
      <c r="G43" s="3"/>
      <c r="H43" s="3"/>
      <c r="I43" s="3"/>
      <c r="J43" s="3"/>
    </row>
    <row r="44" spans="1:13">
      <c r="B44" s="6" t="s">
        <v>188</v>
      </c>
      <c r="C44" s="6" t="s">
        <v>39</v>
      </c>
      <c r="D44" s="7" t="s">
        <v>44</v>
      </c>
      <c r="E44" s="7" t="s">
        <v>191</v>
      </c>
      <c r="F44" s="7" t="s">
        <v>205</v>
      </c>
      <c r="G44" s="3"/>
      <c r="H44" s="3"/>
      <c r="I44" s="3"/>
      <c r="J44" s="3"/>
    </row>
    <row r="45" spans="1:13">
      <c r="B45" s="6" t="s">
        <v>197</v>
      </c>
      <c r="C45" s="6" t="s">
        <v>39</v>
      </c>
      <c r="D45" s="7" t="s">
        <v>45</v>
      </c>
      <c r="E45" s="7" t="s">
        <v>32</v>
      </c>
      <c r="F45" s="7" t="s">
        <v>206</v>
      </c>
      <c r="G45" s="3"/>
      <c r="H45" s="3"/>
      <c r="I45" s="3"/>
      <c r="J45" s="3"/>
    </row>
  </sheetData>
  <mergeCells count="19">
    <mergeCell ref="A17:L17"/>
    <mergeCell ref="A20:L20"/>
    <mergeCell ref="A27:L27"/>
    <mergeCell ref="A30:L30"/>
    <mergeCell ref="A34:L34"/>
    <mergeCell ref="A8:L8"/>
    <mergeCell ref="A11:L11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1"/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1.16406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1.33203125" style="6" bestFit="1" customWidth="1"/>
    <col min="7" max="9" width="5.5" style="7" bestFit="1" customWidth="1"/>
    <col min="10" max="10" width="4.83203125" style="7" bestFit="1" customWidth="1"/>
    <col min="11" max="11" width="11.33203125" style="7" bestFit="1" customWidth="1"/>
    <col min="12" max="12" width="8.5" style="7" bestFit="1" customWidth="1"/>
    <col min="13" max="13" width="20.1640625" style="6" customWidth="1"/>
    <col min="14" max="16384" width="9.1640625" style="3"/>
  </cols>
  <sheetData>
    <row r="1" spans="1:13" s="2" customFormat="1" ht="29" customHeight="1">
      <c r="A1" s="65" t="s">
        <v>327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2" customHeight="1" thickBo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48</v>
      </c>
      <c r="B3" s="77" t="s">
        <v>0</v>
      </c>
      <c r="C3" s="74" t="s">
        <v>5</v>
      </c>
      <c r="D3" s="74" t="s">
        <v>6</v>
      </c>
      <c r="E3" s="76" t="s">
        <v>8</v>
      </c>
      <c r="F3" s="76" t="s">
        <v>7</v>
      </c>
      <c r="G3" s="76" t="s">
        <v>10</v>
      </c>
      <c r="H3" s="76"/>
      <c r="I3" s="76"/>
      <c r="J3" s="76"/>
      <c r="K3" s="76" t="s">
        <v>160</v>
      </c>
      <c r="L3" s="76" t="s">
        <v>3</v>
      </c>
      <c r="M3" s="59" t="s">
        <v>2</v>
      </c>
    </row>
    <row r="4" spans="1:13" s="1" customFormat="1" ht="21" customHeight="1" thickBot="1">
      <c r="A4" s="73"/>
      <c r="B4" s="78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60"/>
    </row>
    <row r="5" spans="1:13" ht="16">
      <c r="A5" s="61" t="s">
        <v>81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8" t="s">
        <v>46</v>
      </c>
      <c r="B6" s="8" t="s">
        <v>141</v>
      </c>
      <c r="C6" s="8" t="s">
        <v>142</v>
      </c>
      <c r="D6" s="8" t="s">
        <v>143</v>
      </c>
      <c r="E6" s="8" t="str">
        <f>"0,8633"</f>
        <v>0,8633</v>
      </c>
      <c r="F6" s="8" t="s">
        <v>144</v>
      </c>
      <c r="G6" s="9" t="s">
        <v>145</v>
      </c>
      <c r="H6" s="9" t="s">
        <v>145</v>
      </c>
      <c r="I6" s="10" t="s">
        <v>74</v>
      </c>
      <c r="J6" s="11"/>
      <c r="K6" s="11" t="str">
        <f>"112,5"</f>
        <v>112,5</v>
      </c>
      <c r="L6" s="11" t="str">
        <f>"97,1179"</f>
        <v>97,1179</v>
      </c>
      <c r="M6" s="8" t="s">
        <v>321</v>
      </c>
    </row>
    <row r="7" spans="1:13">
      <c r="B7" s="6" t="s">
        <v>47</v>
      </c>
    </row>
    <row r="8" spans="1:13" ht="16">
      <c r="A8" s="63" t="s">
        <v>12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3">
      <c r="A9" s="8" t="s">
        <v>46</v>
      </c>
      <c r="B9" s="8" t="s">
        <v>146</v>
      </c>
      <c r="C9" s="8" t="s">
        <v>147</v>
      </c>
      <c r="D9" s="8" t="s">
        <v>148</v>
      </c>
      <c r="E9" s="8" t="str">
        <f>"0,6137"</f>
        <v>0,6137</v>
      </c>
      <c r="F9" s="8" t="s">
        <v>176</v>
      </c>
      <c r="G9" s="9" t="s">
        <v>87</v>
      </c>
      <c r="H9" s="10" t="s">
        <v>149</v>
      </c>
      <c r="I9" s="11"/>
      <c r="J9" s="11"/>
      <c r="K9" s="11" t="str">
        <f>"165,0"</f>
        <v>165,0</v>
      </c>
      <c r="L9" s="11" t="str">
        <f>"101,2687"</f>
        <v>101,2687</v>
      </c>
      <c r="M9" s="8" t="s">
        <v>342</v>
      </c>
    </row>
    <row r="10" spans="1:13">
      <c r="B10" s="6" t="s">
        <v>47</v>
      </c>
    </row>
    <row r="11" spans="1:13" ht="16">
      <c r="A11" s="63" t="s">
        <v>24</v>
      </c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3">
      <c r="A12" s="8" t="s">
        <v>46</v>
      </c>
      <c r="B12" s="8" t="s">
        <v>150</v>
      </c>
      <c r="C12" s="8" t="s">
        <v>151</v>
      </c>
      <c r="D12" s="8" t="s">
        <v>152</v>
      </c>
      <c r="E12" s="8" t="str">
        <f>"0,5816"</f>
        <v>0,5816</v>
      </c>
      <c r="F12" s="8" t="s">
        <v>176</v>
      </c>
      <c r="G12" s="10" t="s">
        <v>153</v>
      </c>
      <c r="H12" s="9" t="s">
        <v>154</v>
      </c>
      <c r="I12" s="10" t="s">
        <v>19</v>
      </c>
      <c r="J12" s="11"/>
      <c r="K12" s="11" t="str">
        <f>"172,5"</f>
        <v>172,5</v>
      </c>
      <c r="L12" s="11" t="str">
        <f>"100,3174"</f>
        <v>100,3174</v>
      </c>
      <c r="M12" s="8" t="s">
        <v>339</v>
      </c>
    </row>
    <row r="13" spans="1:13">
      <c r="B13" s="6" t="s">
        <v>47</v>
      </c>
    </row>
    <row r="14" spans="1:13" ht="16">
      <c r="A14" s="63" t="s">
        <v>155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3">
      <c r="A15" s="8" t="s">
        <v>46</v>
      </c>
      <c r="B15" s="8" t="s">
        <v>156</v>
      </c>
      <c r="C15" s="8" t="s">
        <v>157</v>
      </c>
      <c r="D15" s="8" t="s">
        <v>158</v>
      </c>
      <c r="E15" s="8" t="str">
        <f>"0,5565"</f>
        <v>0,5565</v>
      </c>
      <c r="F15" s="8" t="s">
        <v>159</v>
      </c>
      <c r="G15" s="9" t="s">
        <v>87</v>
      </c>
      <c r="H15" s="10" t="s">
        <v>80</v>
      </c>
      <c r="I15" s="9" t="s">
        <v>80</v>
      </c>
      <c r="J15" s="11"/>
      <c r="K15" s="11" t="str">
        <f>"170,0"</f>
        <v>170,0</v>
      </c>
      <c r="L15" s="11" t="str">
        <f>"108,5022"</f>
        <v>108,5022</v>
      </c>
      <c r="M15" s="8" t="s">
        <v>352</v>
      </c>
    </row>
    <row r="16" spans="1:13">
      <c r="B16" s="6" t="s">
        <v>47</v>
      </c>
    </row>
  </sheetData>
  <mergeCells count="15">
    <mergeCell ref="A14:L14"/>
    <mergeCell ref="B3:B4"/>
    <mergeCell ref="K3:K4"/>
    <mergeCell ref="L3:L4"/>
    <mergeCell ref="M3:M4"/>
    <mergeCell ref="A5:L5"/>
    <mergeCell ref="A8:L8"/>
    <mergeCell ref="A11:L1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BC0A-6EB2-5840-8B96-A337322716FF}"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30" bestFit="1" customWidth="1"/>
    <col min="2" max="2" width="19.1640625" style="29" bestFit="1" customWidth="1"/>
    <col min="3" max="3" width="29" style="29" bestFit="1" customWidth="1"/>
    <col min="4" max="4" width="21.5" style="29" bestFit="1" customWidth="1"/>
    <col min="5" max="5" width="10.5" style="29" bestFit="1" customWidth="1"/>
    <col min="6" max="6" width="31.33203125" style="29" bestFit="1" customWidth="1"/>
    <col min="7" max="10" width="5.5" style="30" bestFit="1" customWidth="1"/>
    <col min="11" max="11" width="11.33203125" style="54" bestFit="1" customWidth="1"/>
    <col min="12" max="12" width="8.5" style="30" bestFit="1" customWidth="1"/>
    <col min="13" max="13" width="30.83203125" style="29" bestFit="1" customWidth="1"/>
    <col min="14" max="16384" width="9.1640625" style="28"/>
  </cols>
  <sheetData>
    <row r="1" spans="1:13" s="42" customFormat="1" ht="29" customHeight="1">
      <c r="A1" s="90" t="s">
        <v>300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s="42" customFormat="1" ht="62" customHeight="1" thickBot="1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 s="40" customFormat="1" ht="12.75" customHeight="1">
      <c r="A3" s="97" t="s">
        <v>48</v>
      </c>
      <c r="B3" s="89" t="s">
        <v>0</v>
      </c>
      <c r="C3" s="99" t="s">
        <v>5</v>
      </c>
      <c r="D3" s="99" t="s">
        <v>6</v>
      </c>
      <c r="E3" s="85" t="s">
        <v>8</v>
      </c>
      <c r="F3" s="85" t="s">
        <v>7</v>
      </c>
      <c r="G3" s="85" t="s">
        <v>10</v>
      </c>
      <c r="H3" s="85"/>
      <c r="I3" s="85"/>
      <c r="J3" s="85"/>
      <c r="K3" s="83" t="s">
        <v>160</v>
      </c>
      <c r="L3" s="85" t="s">
        <v>3</v>
      </c>
      <c r="M3" s="87" t="s">
        <v>2</v>
      </c>
    </row>
    <row r="4" spans="1:13" s="40" customFormat="1" ht="21" customHeight="1" thickBot="1">
      <c r="A4" s="98"/>
      <c r="B4" s="78"/>
      <c r="C4" s="86"/>
      <c r="D4" s="86"/>
      <c r="E4" s="86"/>
      <c r="F4" s="86"/>
      <c r="G4" s="41">
        <v>1</v>
      </c>
      <c r="H4" s="41">
        <v>2</v>
      </c>
      <c r="I4" s="41">
        <v>3</v>
      </c>
      <c r="J4" s="41" t="s">
        <v>4</v>
      </c>
      <c r="K4" s="84"/>
      <c r="L4" s="86"/>
      <c r="M4" s="88"/>
    </row>
    <row r="5" spans="1:13" ht="16">
      <c r="A5" s="62" t="s">
        <v>127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38" t="s">
        <v>208</v>
      </c>
      <c r="B6" s="37" t="s">
        <v>256</v>
      </c>
      <c r="C6" s="37" t="s">
        <v>311</v>
      </c>
      <c r="D6" s="37" t="s">
        <v>255</v>
      </c>
      <c r="E6" s="37" t="str">
        <f>"1,1093"</f>
        <v>1,1093</v>
      </c>
      <c r="F6" s="37" t="s">
        <v>144</v>
      </c>
      <c r="G6" s="39" t="s">
        <v>54</v>
      </c>
      <c r="H6" s="39" t="s">
        <v>99</v>
      </c>
      <c r="I6" s="39" t="s">
        <v>99</v>
      </c>
      <c r="J6" s="38"/>
      <c r="K6" s="53">
        <v>0</v>
      </c>
      <c r="L6" s="38" t="str">
        <f>"0,0000"</f>
        <v>0,0000</v>
      </c>
      <c r="M6" s="37" t="s">
        <v>345</v>
      </c>
    </row>
    <row r="7" spans="1:13">
      <c r="B7" s="29" t="s">
        <v>47</v>
      </c>
    </row>
    <row r="8" spans="1:13" ht="16">
      <c r="A8" s="64" t="s">
        <v>12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3">
      <c r="A9" s="38" t="s">
        <v>46</v>
      </c>
      <c r="B9" s="37" t="s">
        <v>254</v>
      </c>
      <c r="C9" s="37" t="s">
        <v>253</v>
      </c>
      <c r="D9" s="37" t="s">
        <v>252</v>
      </c>
      <c r="E9" s="37" t="str">
        <f>"0,6173"</f>
        <v>0,6173</v>
      </c>
      <c r="F9" s="37" t="s">
        <v>176</v>
      </c>
      <c r="G9" s="9" t="s">
        <v>105</v>
      </c>
      <c r="H9" s="39" t="s">
        <v>209</v>
      </c>
      <c r="I9" s="39" t="s">
        <v>251</v>
      </c>
      <c r="J9" s="38"/>
      <c r="K9" s="53" t="str">
        <f>"215,0"</f>
        <v>215,0</v>
      </c>
      <c r="L9" s="38" t="str">
        <f>"132,7195"</f>
        <v>132,7195</v>
      </c>
      <c r="M9" s="37" t="s">
        <v>346</v>
      </c>
    </row>
    <row r="10" spans="1:13">
      <c r="B10" s="29" t="s">
        <v>47</v>
      </c>
    </row>
    <row r="11" spans="1:13" ht="16">
      <c r="A11" s="64" t="s">
        <v>218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3">
      <c r="A12" s="35" t="s">
        <v>46</v>
      </c>
      <c r="B12" s="34" t="s">
        <v>249</v>
      </c>
      <c r="C12" s="34" t="s">
        <v>250</v>
      </c>
      <c r="D12" s="34" t="s">
        <v>248</v>
      </c>
      <c r="E12" s="34" t="str">
        <f>"0,5635"</f>
        <v>0,5635</v>
      </c>
      <c r="F12" s="34" t="s">
        <v>176</v>
      </c>
      <c r="G12" s="16" t="s">
        <v>247</v>
      </c>
      <c r="H12" s="16" t="s">
        <v>246</v>
      </c>
      <c r="I12" s="16" t="s">
        <v>17</v>
      </c>
      <c r="J12" s="36" t="s">
        <v>245</v>
      </c>
      <c r="K12" s="55" t="str">
        <f>"260,0"</f>
        <v>260,0</v>
      </c>
      <c r="L12" s="35" t="str">
        <f>"146,5100"</f>
        <v>146,5100</v>
      </c>
      <c r="M12" s="34" t="s">
        <v>346</v>
      </c>
    </row>
    <row r="13" spans="1:13">
      <c r="A13" s="32" t="s">
        <v>46</v>
      </c>
      <c r="B13" s="31" t="s">
        <v>249</v>
      </c>
      <c r="C13" s="31" t="s">
        <v>312</v>
      </c>
      <c r="D13" s="31" t="s">
        <v>248</v>
      </c>
      <c r="E13" s="31" t="str">
        <f>"0,5635"</f>
        <v>0,5635</v>
      </c>
      <c r="F13" s="31" t="s">
        <v>176</v>
      </c>
      <c r="G13" s="24" t="s">
        <v>247</v>
      </c>
      <c r="H13" s="24" t="s">
        <v>246</v>
      </c>
      <c r="I13" s="24" t="s">
        <v>17</v>
      </c>
      <c r="J13" s="33" t="s">
        <v>245</v>
      </c>
      <c r="K13" s="56" t="str">
        <f>"260,0"</f>
        <v>260,0</v>
      </c>
      <c r="L13" s="32" t="str">
        <f>"154,5680"</f>
        <v>154,5680</v>
      </c>
      <c r="M13" s="31" t="s">
        <v>346</v>
      </c>
    </row>
    <row r="14" spans="1:13">
      <c r="B14" s="29" t="s">
        <v>47</v>
      </c>
    </row>
  </sheetData>
  <mergeCells count="14">
    <mergeCell ref="A11:L11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9C76-8935-534B-BC78-58076DDAE2BA}">
  <sheetPr>
    <pageSetUpPr fitToPage="1"/>
  </sheetPr>
  <dimension ref="A1:M7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30" bestFit="1" customWidth="1"/>
    <col min="2" max="2" width="18.33203125" style="29" bestFit="1" customWidth="1"/>
    <col min="3" max="3" width="26.33203125" style="29" bestFit="1" customWidth="1"/>
    <col min="4" max="4" width="21.5" style="29" bestFit="1" customWidth="1"/>
    <col min="5" max="5" width="10.5" style="29" bestFit="1" customWidth="1"/>
    <col min="6" max="6" width="30.6640625" style="29" bestFit="1" customWidth="1"/>
    <col min="7" max="8" width="5.5" style="30" bestFit="1" customWidth="1"/>
    <col min="9" max="9" width="4.83203125" style="30" customWidth="1"/>
    <col min="10" max="10" width="4.83203125" style="30" bestFit="1" customWidth="1"/>
    <col min="11" max="11" width="11.33203125" style="30" bestFit="1" customWidth="1"/>
    <col min="12" max="12" width="8.5" style="30" bestFit="1" customWidth="1"/>
    <col min="13" max="13" width="19.1640625" style="29" customWidth="1"/>
    <col min="14" max="16384" width="9.1640625" style="28"/>
  </cols>
  <sheetData>
    <row r="1" spans="1:13" s="42" customFormat="1" ht="29" customHeight="1">
      <c r="A1" s="90" t="s">
        <v>301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s="42" customFormat="1" ht="62" customHeight="1" thickBot="1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 s="40" customFormat="1" ht="12.75" customHeight="1">
      <c r="A3" s="97" t="s">
        <v>48</v>
      </c>
      <c r="B3" s="89" t="s">
        <v>0</v>
      </c>
      <c r="C3" s="99" t="s">
        <v>5</v>
      </c>
      <c r="D3" s="99" t="s">
        <v>6</v>
      </c>
      <c r="E3" s="85" t="s">
        <v>8</v>
      </c>
      <c r="F3" s="85" t="s">
        <v>7</v>
      </c>
      <c r="G3" s="85" t="s">
        <v>10</v>
      </c>
      <c r="H3" s="85"/>
      <c r="I3" s="85"/>
      <c r="J3" s="85"/>
      <c r="K3" s="85" t="s">
        <v>160</v>
      </c>
      <c r="L3" s="85" t="s">
        <v>3</v>
      </c>
      <c r="M3" s="87" t="s">
        <v>2</v>
      </c>
    </row>
    <row r="4" spans="1:13" s="40" customFormat="1" ht="21" customHeight="1" thickBot="1">
      <c r="A4" s="98"/>
      <c r="B4" s="78"/>
      <c r="C4" s="86"/>
      <c r="D4" s="86"/>
      <c r="E4" s="86"/>
      <c r="F4" s="86"/>
      <c r="G4" s="41">
        <v>1</v>
      </c>
      <c r="H4" s="41">
        <v>2</v>
      </c>
      <c r="I4" s="41">
        <v>3</v>
      </c>
      <c r="J4" s="41" t="s">
        <v>4</v>
      </c>
      <c r="K4" s="86"/>
      <c r="L4" s="86"/>
      <c r="M4" s="88"/>
    </row>
    <row r="5" spans="1:13" ht="16">
      <c r="A5" s="62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38" t="s">
        <v>46</v>
      </c>
      <c r="B6" s="37" t="s">
        <v>117</v>
      </c>
      <c r="C6" s="37" t="s">
        <v>118</v>
      </c>
      <c r="D6" s="37" t="s">
        <v>119</v>
      </c>
      <c r="E6" s="37" t="str">
        <f>"0,6940"</f>
        <v>0,6940</v>
      </c>
      <c r="F6" s="37" t="s">
        <v>176</v>
      </c>
      <c r="G6" s="9" t="s">
        <v>16</v>
      </c>
      <c r="H6" s="9" t="s">
        <v>17</v>
      </c>
      <c r="I6" s="38"/>
      <c r="J6" s="38"/>
      <c r="K6" s="38" t="str">
        <f>"260,0"</f>
        <v>260,0</v>
      </c>
      <c r="L6" s="38" t="str">
        <f>"180,4400"</f>
        <v>180,4400</v>
      </c>
      <c r="M6" s="37" t="s">
        <v>340</v>
      </c>
    </row>
    <row r="7" spans="1:13">
      <c r="B7" s="29" t="s">
        <v>47</v>
      </c>
    </row>
  </sheetData>
  <mergeCells count="12">
    <mergeCell ref="A1:M2"/>
    <mergeCell ref="G3:J3"/>
    <mergeCell ref="A3:A4"/>
    <mergeCell ref="C3:C4"/>
    <mergeCell ref="D3:D4"/>
    <mergeCell ref="M3:M4"/>
    <mergeCell ref="F3:F4"/>
    <mergeCell ref="A5:L5"/>
    <mergeCell ref="B3:B4"/>
    <mergeCell ref="E3:E4"/>
    <mergeCell ref="K3:K4"/>
    <mergeCell ref="L3:L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AE80A-8631-BB49-A2CA-0B8D13FC016E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30" bestFit="1" customWidth="1"/>
    <col min="2" max="2" width="17.5" style="29" bestFit="1" customWidth="1"/>
    <col min="3" max="3" width="26.33203125" style="29" bestFit="1" customWidth="1"/>
    <col min="4" max="4" width="21.5" style="29" bestFit="1" customWidth="1"/>
    <col min="5" max="5" width="10.5" style="29" bestFit="1" customWidth="1"/>
    <col min="6" max="6" width="30.6640625" style="29" bestFit="1" customWidth="1"/>
    <col min="7" max="9" width="5.5" style="30" bestFit="1" customWidth="1"/>
    <col min="10" max="10" width="4.83203125" style="30" bestFit="1" customWidth="1"/>
    <col min="11" max="11" width="11.33203125" style="30" bestFit="1" customWidth="1"/>
    <col min="12" max="12" width="8.5" style="30" bestFit="1" customWidth="1"/>
    <col min="13" max="13" width="19.6640625" style="29" customWidth="1"/>
    <col min="14" max="16384" width="9.1640625" style="28"/>
  </cols>
  <sheetData>
    <row r="1" spans="1:13" s="42" customFormat="1" ht="29" customHeight="1">
      <c r="A1" s="90" t="s">
        <v>302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s="42" customFormat="1" ht="62" customHeight="1" thickBot="1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 s="40" customFormat="1" ht="12.75" customHeight="1">
      <c r="A3" s="97" t="s">
        <v>48</v>
      </c>
      <c r="B3" s="89" t="s">
        <v>0</v>
      </c>
      <c r="C3" s="99" t="s">
        <v>5</v>
      </c>
      <c r="D3" s="99" t="s">
        <v>6</v>
      </c>
      <c r="E3" s="85" t="s">
        <v>8</v>
      </c>
      <c r="F3" s="85" t="s">
        <v>7</v>
      </c>
      <c r="G3" s="85" t="s">
        <v>10</v>
      </c>
      <c r="H3" s="85"/>
      <c r="I3" s="85"/>
      <c r="J3" s="85"/>
      <c r="K3" s="85" t="s">
        <v>160</v>
      </c>
      <c r="L3" s="85" t="s">
        <v>3</v>
      </c>
      <c r="M3" s="87" t="s">
        <v>2</v>
      </c>
    </row>
    <row r="4" spans="1:13" s="40" customFormat="1" ht="21" customHeight="1" thickBot="1">
      <c r="A4" s="98"/>
      <c r="B4" s="78"/>
      <c r="C4" s="86"/>
      <c r="D4" s="86"/>
      <c r="E4" s="86"/>
      <c r="F4" s="86"/>
      <c r="G4" s="41">
        <v>1</v>
      </c>
      <c r="H4" s="41">
        <v>2</v>
      </c>
      <c r="I4" s="41">
        <v>3</v>
      </c>
      <c r="J4" s="41" t="s">
        <v>4</v>
      </c>
      <c r="K4" s="86"/>
      <c r="L4" s="86"/>
      <c r="M4" s="88"/>
    </row>
    <row r="5" spans="1:13" ht="16">
      <c r="A5" s="62" t="s">
        <v>155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>
      <c r="A6" s="38" t="s">
        <v>46</v>
      </c>
      <c r="B6" s="37" t="s">
        <v>261</v>
      </c>
      <c r="C6" s="37" t="s">
        <v>260</v>
      </c>
      <c r="D6" s="37" t="s">
        <v>259</v>
      </c>
      <c r="E6" s="37" t="str">
        <f>"0,5525"</f>
        <v>0,5525</v>
      </c>
      <c r="F6" s="37" t="s">
        <v>176</v>
      </c>
      <c r="G6" s="9" t="s">
        <v>258</v>
      </c>
      <c r="H6" s="39" t="s">
        <v>257</v>
      </c>
      <c r="I6" s="39" t="s">
        <v>257</v>
      </c>
      <c r="J6" s="38"/>
      <c r="K6" s="38" t="str">
        <f>"315,0"</f>
        <v>315,0</v>
      </c>
      <c r="L6" s="38" t="str">
        <f>"174,0218"</f>
        <v>174,0218</v>
      </c>
      <c r="M6" s="37" t="s">
        <v>320</v>
      </c>
    </row>
    <row r="7" spans="1:13">
      <c r="B7" s="29" t="s">
        <v>47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Жим без экипировки ДК</vt:lpstr>
      <vt:lpstr>GPA Жим без экипировки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GPA Тяга без экипировки ДК</vt:lpstr>
      <vt:lpstr>GPA Тяга без экипировки</vt:lpstr>
      <vt:lpstr>IPO Тяга в экипировке</vt:lpstr>
      <vt:lpstr>СПР Подъем на бицепс ДК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2020-09-04T09:54:14Z</dcterms:modified>
</cp:coreProperties>
</file>