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Август/"/>
    </mc:Choice>
  </mc:AlternateContent>
  <xr:revisionPtr revIDLastSave="0" documentId="13_ncr:1_{2A505B41-9680-D74B-A260-8AF2C62725D0}" xr6:coauthVersionLast="45" xr6:coauthVersionMax="45" xr10:uidLastSave="{00000000-0000-0000-0000-000000000000}"/>
  <bookViews>
    <workbookView xWindow="0" yWindow="460" windowWidth="28800" windowHeight="16200" xr2:uid="{00000000-000D-0000-FFFF-FFFF00000000}"/>
  </bookViews>
  <sheets>
    <sheet name="IPL Жим без экипировки ДК" sheetId="6" r:id="rId1"/>
    <sheet name="IPL Жим без экипировки" sheetId="5" r:id="rId2"/>
    <sheet name="IPL Жим однослой" sheetId="7" r:id="rId3"/>
    <sheet name="СПР Жим софт однопетельная ДК" sheetId="14" r:id="rId4"/>
    <sheet name="СПР Жим софт однопетельная" sheetId="13" r:id="rId5"/>
    <sheet name="СПР Жим софт многопетельная ДК" sheetId="16" r:id="rId6"/>
    <sheet name="СПР Жим софт многопетельная" sheetId="15" r:id="rId7"/>
    <sheet name="СПР Жим СФО" sheetId="20" r:id="rId8"/>
    <sheet name="IPL Тяга без экипировки ДК" sheetId="9" r:id="rId9"/>
    <sheet name="IPL Тяга без экипировки" sheetId="8" r:id="rId10"/>
    <sheet name="IPL Тяга однослой ДК" sheetId="10" r:id="rId11"/>
    <sheet name="СПР Подъем на бицепс ДК" sheetId="22" r:id="rId12"/>
    <sheet name="СПР Подъем на бицепс" sheetId="21" r:id="rId13"/>
  </sheets>
  <definedNames>
    <definedName name="_FilterDatabase" localSheetId="1" hidden="1">'IPL Жим без экипировки'!$A$1:$L$3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22" l="1"/>
  <c r="L11" i="22"/>
  <c r="E11" i="22"/>
  <c r="M10" i="22"/>
  <c r="L10" i="22"/>
  <c r="E10" i="22"/>
  <c r="M9" i="22"/>
  <c r="L9" i="22"/>
  <c r="E9" i="22"/>
  <c r="M6" i="22"/>
  <c r="L6" i="22"/>
  <c r="E6" i="22"/>
  <c r="M16" i="21"/>
  <c r="L16" i="21"/>
  <c r="E16" i="21"/>
  <c r="M15" i="21"/>
  <c r="L15" i="21"/>
  <c r="E15" i="21"/>
  <c r="M12" i="21"/>
  <c r="L12" i="21"/>
  <c r="E12" i="21"/>
  <c r="M9" i="21"/>
  <c r="L9" i="21"/>
  <c r="E9" i="21"/>
  <c r="M6" i="21"/>
  <c r="L6" i="21"/>
  <c r="E6" i="21"/>
  <c r="M6" i="20"/>
  <c r="L6" i="20"/>
  <c r="E6" i="20"/>
  <c r="M6" i="16"/>
  <c r="L6" i="16"/>
  <c r="E6" i="16"/>
  <c r="M9" i="15"/>
  <c r="L9" i="15"/>
  <c r="E9" i="15"/>
  <c r="M6" i="15"/>
  <c r="L6" i="15"/>
  <c r="E6" i="15"/>
  <c r="M9" i="14"/>
  <c r="L9" i="14"/>
  <c r="E9" i="14"/>
  <c r="M6" i="14"/>
  <c r="L6" i="14"/>
  <c r="E6" i="14"/>
  <c r="M15" i="13"/>
  <c r="L15" i="13"/>
  <c r="E15" i="13"/>
  <c r="M12" i="13"/>
  <c r="L12" i="13"/>
  <c r="E12" i="13"/>
  <c r="M9" i="13"/>
  <c r="L9" i="13"/>
  <c r="E9" i="13"/>
  <c r="M6" i="13"/>
  <c r="L6" i="13"/>
  <c r="E6" i="13"/>
  <c r="M6" i="10"/>
  <c r="L6" i="10"/>
  <c r="E6" i="10"/>
  <c r="M32" i="9"/>
  <c r="L32" i="9"/>
  <c r="E32" i="9"/>
  <c r="M29" i="9"/>
  <c r="L29" i="9"/>
  <c r="E29" i="9"/>
  <c r="M28" i="9"/>
  <c r="L28" i="9"/>
  <c r="E28" i="9"/>
  <c r="M27" i="9"/>
  <c r="L27" i="9"/>
  <c r="E27" i="9"/>
  <c r="M26" i="9"/>
  <c r="L26" i="9"/>
  <c r="E26" i="9"/>
  <c r="M25" i="9"/>
  <c r="L25" i="9"/>
  <c r="E25" i="9"/>
  <c r="M22" i="9"/>
  <c r="L22" i="9"/>
  <c r="E22" i="9"/>
  <c r="M19" i="9"/>
  <c r="L19" i="9"/>
  <c r="E19" i="9"/>
  <c r="M16" i="9"/>
  <c r="L16" i="9"/>
  <c r="E16" i="9"/>
  <c r="M13" i="9"/>
  <c r="L13" i="9"/>
  <c r="E13" i="9"/>
  <c r="M12" i="9"/>
  <c r="L12" i="9"/>
  <c r="E12" i="9"/>
  <c r="M9" i="9"/>
  <c r="L9" i="9"/>
  <c r="E9" i="9"/>
  <c r="M6" i="9"/>
  <c r="L6" i="9"/>
  <c r="E6" i="9"/>
  <c r="M21" i="8"/>
  <c r="L21" i="8"/>
  <c r="E21" i="8"/>
  <c r="M20" i="8"/>
  <c r="L20" i="8"/>
  <c r="E20" i="8"/>
  <c r="M19" i="8"/>
  <c r="L19" i="8"/>
  <c r="E19" i="8"/>
  <c r="M16" i="8"/>
  <c r="L16" i="8"/>
  <c r="E16" i="8"/>
  <c r="M15" i="8"/>
  <c r="L15" i="8"/>
  <c r="E15" i="8"/>
  <c r="M12" i="8"/>
  <c r="L12" i="8"/>
  <c r="E12" i="8"/>
  <c r="M9" i="8"/>
  <c r="L9" i="8"/>
  <c r="E9" i="8"/>
  <c r="M6" i="8"/>
  <c r="L6" i="8"/>
  <c r="E6" i="8"/>
  <c r="M6" i="7"/>
  <c r="L6" i="7"/>
  <c r="E6" i="7"/>
  <c r="M30" i="6"/>
  <c r="L30" i="6"/>
  <c r="E30" i="6"/>
  <c r="M29" i="6"/>
  <c r="L29" i="6"/>
  <c r="E29" i="6"/>
  <c r="M28" i="6"/>
  <c r="L28" i="6"/>
  <c r="E28" i="6"/>
  <c r="M25" i="6"/>
  <c r="L25" i="6"/>
  <c r="E25" i="6"/>
  <c r="M24" i="6"/>
  <c r="L24" i="6"/>
  <c r="E24" i="6"/>
  <c r="M23" i="6"/>
  <c r="L23" i="6"/>
  <c r="E23" i="6"/>
  <c r="M20" i="6"/>
  <c r="L20" i="6"/>
  <c r="E20" i="6"/>
  <c r="M19" i="6"/>
  <c r="L19" i="6"/>
  <c r="E19" i="6"/>
  <c r="M18" i="6"/>
  <c r="L18" i="6"/>
  <c r="E18" i="6"/>
  <c r="M17" i="6"/>
  <c r="L17" i="6"/>
  <c r="E17" i="6"/>
  <c r="M14" i="6"/>
  <c r="L14" i="6"/>
  <c r="E14" i="6"/>
  <c r="M13" i="6"/>
  <c r="L13" i="6"/>
  <c r="E13" i="6"/>
  <c r="M12" i="6"/>
  <c r="L12" i="6"/>
  <c r="E12" i="6"/>
  <c r="M9" i="6"/>
  <c r="L9" i="6"/>
  <c r="E9" i="6"/>
  <c r="M6" i="6"/>
  <c r="L6" i="6"/>
  <c r="E6" i="6"/>
  <c r="M33" i="5"/>
  <c r="E33" i="5"/>
  <c r="M30" i="5"/>
  <c r="L30" i="5"/>
  <c r="E30" i="5"/>
  <c r="M29" i="5"/>
  <c r="L29" i="5"/>
  <c r="E29" i="5"/>
  <c r="M28" i="5"/>
  <c r="L28" i="5"/>
  <c r="E28" i="5"/>
  <c r="M25" i="5"/>
  <c r="L25" i="5"/>
  <c r="E25" i="5"/>
  <c r="M24" i="5"/>
  <c r="L24" i="5"/>
  <c r="E24" i="5"/>
  <c r="M23" i="5"/>
  <c r="L23" i="5"/>
  <c r="E23" i="5"/>
  <c r="M20" i="5"/>
  <c r="L20" i="5"/>
  <c r="E20" i="5"/>
  <c r="M19" i="5"/>
  <c r="L19" i="5"/>
  <c r="E19" i="5"/>
  <c r="M18" i="5"/>
  <c r="L18" i="5"/>
  <c r="E18" i="5"/>
  <c r="M17" i="5"/>
  <c r="L17" i="5"/>
  <c r="E17" i="5"/>
  <c r="M14" i="5"/>
  <c r="L14" i="5"/>
  <c r="E14" i="5"/>
  <c r="M13" i="5"/>
  <c r="L13" i="5"/>
  <c r="E13" i="5"/>
  <c r="M12" i="5"/>
  <c r="L12" i="5"/>
  <c r="E12" i="5"/>
  <c r="M9" i="5"/>
  <c r="L9" i="5"/>
  <c r="E9" i="5"/>
  <c r="M6" i="5"/>
  <c r="L6" i="5"/>
  <c r="E6" i="5"/>
</calcChain>
</file>

<file path=xl/sharedStrings.xml><?xml version="1.0" encoding="utf-8"?>
<sst xmlns="http://schemas.openxmlformats.org/spreadsheetml/2006/main" count="1009" uniqueCount="392">
  <si>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</si>
  <si>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</si>
  <si>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</si>
  <si>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</si>
  <si>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</si>
  <si>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</si>
  <si>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</si>
  <si>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</si>
  <si>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Wilks</t>
  </si>
  <si>
    <t>Жим лёжа</t>
  </si>
  <si>
    <t>ВЕСОВАЯ КАТЕГОРИЯ   82.5</t>
  </si>
  <si>
    <t>Печерская Елена</t>
  </si>
  <si>
    <t>Открытая (08.02.1991)/29</t>
  </si>
  <si>
    <t>77,60</t>
  </si>
  <si>
    <t>85,0</t>
  </si>
  <si>
    <t>90,0</t>
  </si>
  <si>
    <t>95,0</t>
  </si>
  <si>
    <t>ВЕСОВАЯ КАТЕГОРИЯ   56</t>
  </si>
  <si>
    <t>Горбунов Анатолий</t>
  </si>
  <si>
    <t>55,70</t>
  </si>
  <si>
    <t xml:space="preserve">Баргест </t>
  </si>
  <si>
    <t>55,0</t>
  </si>
  <si>
    <t>57,5</t>
  </si>
  <si>
    <t>ВЕСОВАЯ КАТЕГОРИЯ   90</t>
  </si>
  <si>
    <t>Коротич Кирилл</t>
  </si>
  <si>
    <t>87,40</t>
  </si>
  <si>
    <t>130,0</t>
  </si>
  <si>
    <t>137,5</t>
  </si>
  <si>
    <t>145,0</t>
  </si>
  <si>
    <t>212,5</t>
  </si>
  <si>
    <t>225,0</t>
  </si>
  <si>
    <t>240,0</t>
  </si>
  <si>
    <t>Сейтнебиев Мустафа</t>
  </si>
  <si>
    <t>Открытая (15.07.1996)/24</t>
  </si>
  <si>
    <t>85,50</t>
  </si>
  <si>
    <t>175,0</t>
  </si>
  <si>
    <t>180,0</t>
  </si>
  <si>
    <t>Виноградский Артём</t>
  </si>
  <si>
    <t>Открытая (15.08.1986)/34</t>
  </si>
  <si>
    <t>86,30</t>
  </si>
  <si>
    <t>162,5</t>
  </si>
  <si>
    <t>167,5</t>
  </si>
  <si>
    <t>172,5</t>
  </si>
  <si>
    <t>ВЕСОВАЯ КАТЕГОРИЯ   100</t>
  </si>
  <si>
    <t>Кирияк Виктор</t>
  </si>
  <si>
    <t>Открытая (22.06.1996)/24</t>
  </si>
  <si>
    <t>99,90</t>
  </si>
  <si>
    <t>182,5</t>
  </si>
  <si>
    <t>192,5</t>
  </si>
  <si>
    <t>200,0</t>
  </si>
  <si>
    <t>Палёнов Александр</t>
  </si>
  <si>
    <t>Открытая (11.02.1987)/33</t>
  </si>
  <si>
    <t>96,70</t>
  </si>
  <si>
    <t xml:space="preserve">Краснодар/Краснодарский край </t>
  </si>
  <si>
    <t>160,0</t>
  </si>
  <si>
    <t>170,0</t>
  </si>
  <si>
    <t>Патренков Руслан</t>
  </si>
  <si>
    <t>Открытая (07.07.1990)/30</t>
  </si>
  <si>
    <t>97,00</t>
  </si>
  <si>
    <t xml:space="preserve">Сергиев Посад/Московская область </t>
  </si>
  <si>
    <t>140,0</t>
  </si>
  <si>
    <t xml:space="preserve">Лисютин М. </t>
  </si>
  <si>
    <t>Горбунов Вячеслав</t>
  </si>
  <si>
    <t>97,30</t>
  </si>
  <si>
    <t>155,0</t>
  </si>
  <si>
    <t>ВЕСОВАЯ КАТЕГОРИЯ   110</t>
  </si>
  <si>
    <t>Лихач Михаил</t>
  </si>
  <si>
    <t>Открытая (20.04.1989)/31</t>
  </si>
  <si>
    <t>109,00</t>
  </si>
  <si>
    <t>245,0</t>
  </si>
  <si>
    <t>255,0</t>
  </si>
  <si>
    <t>260,0</t>
  </si>
  <si>
    <t>267,5</t>
  </si>
  <si>
    <t>Лисютин Максим</t>
  </si>
  <si>
    <t>Открытая (24.04.1985)/35</t>
  </si>
  <si>
    <t>108,00</t>
  </si>
  <si>
    <t>230,0</t>
  </si>
  <si>
    <t>Павленко Денис</t>
  </si>
  <si>
    <t>Открытая (11.03.1993)/27</t>
  </si>
  <si>
    <t>103,60</t>
  </si>
  <si>
    <t>220,0</t>
  </si>
  <si>
    <t>ВЕСОВАЯ КАТЕГОРИЯ   125</t>
  </si>
  <si>
    <t>Буряченко Андрей</t>
  </si>
  <si>
    <t>Открытая (30.12.1976)/43</t>
  </si>
  <si>
    <t>120,30</t>
  </si>
  <si>
    <t xml:space="preserve">Сороколетов Е. </t>
  </si>
  <si>
    <t>Лелёкин Николай</t>
  </si>
  <si>
    <t>117,00</t>
  </si>
  <si>
    <t xml:space="preserve">Севастопольские гаражники </t>
  </si>
  <si>
    <t>190,0</t>
  </si>
  <si>
    <t>205,0</t>
  </si>
  <si>
    <t>Пешко Владимир</t>
  </si>
  <si>
    <t>114,60</t>
  </si>
  <si>
    <t>ВЕСОВАЯ КАТЕГОРИЯ   140</t>
  </si>
  <si>
    <t>Исматиллаев Джамшид</t>
  </si>
  <si>
    <t>Открытая (16.11.1983)/36</t>
  </si>
  <si>
    <t>133,70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</si>
  <si>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</si>
  <si>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</si>
  <si>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</si>
  <si>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</si>
  <si>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</si>
  <si>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</si>
  <si>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82.5</t>
  </si>
  <si>
    <t xml:space="preserve">Мужчины </t>
  </si>
  <si>
    <t>90</t>
  </si>
  <si>
    <t>110</t>
  </si>
  <si>
    <t>153,4520</t>
  </si>
  <si>
    <t>145,0155</t>
  </si>
  <si>
    <t>132,0880</t>
  </si>
  <si>
    <t>125</t>
  </si>
  <si>
    <t>Результат</t>
  </si>
  <si>
    <t>1</t>
  </si>
  <si>
    <t/>
  </si>
  <si>
    <t>2</t>
  </si>
  <si>
    <t>3</t>
  </si>
  <si>
    <t>-</t>
  </si>
  <si>
    <t>Место</t>
  </si>
  <si>
    <t>Разумова Наталья</t>
  </si>
  <si>
    <t>56,00</t>
  </si>
  <si>
    <t>67,5</t>
  </si>
  <si>
    <t>72,5</t>
  </si>
  <si>
    <t>Калинченко Юлия</t>
  </si>
  <si>
    <t>77,50</t>
  </si>
  <si>
    <t xml:space="preserve">Триумф </t>
  </si>
  <si>
    <t>97,5</t>
  </si>
  <si>
    <t>Солдаткин Никита</t>
  </si>
  <si>
    <t>Юноши 15-19 (31.08.2003)/16</t>
  </si>
  <si>
    <t>81,10</t>
  </si>
  <si>
    <t>Вострецов Никита</t>
  </si>
  <si>
    <t>Юноши 15-19 (21.05.2003)/17</t>
  </si>
  <si>
    <t>77,30</t>
  </si>
  <si>
    <t xml:space="preserve">Коктебель/Республика Крым </t>
  </si>
  <si>
    <t>107,5</t>
  </si>
  <si>
    <t>117,5</t>
  </si>
  <si>
    <t>127,5</t>
  </si>
  <si>
    <t>Юрец Артем</t>
  </si>
  <si>
    <t>Открытая (04.03.1986)/34</t>
  </si>
  <si>
    <t>82,20</t>
  </si>
  <si>
    <t>165,0</t>
  </si>
  <si>
    <t>Ткаченко Дмитрий</t>
  </si>
  <si>
    <t>Открытая (09.04.1981)/39</t>
  </si>
  <si>
    <t>89,70</t>
  </si>
  <si>
    <t>157,5</t>
  </si>
  <si>
    <t>Аметуста Руслан</t>
  </si>
  <si>
    <t>Открытая (25.10.1985)/34</t>
  </si>
  <si>
    <t>89,00</t>
  </si>
  <si>
    <t>152,5</t>
  </si>
  <si>
    <t>Землянов Игорь</t>
  </si>
  <si>
    <t>Открытая (27.03.1993)/27</t>
  </si>
  <si>
    <t>86,00</t>
  </si>
  <si>
    <t>120,0</t>
  </si>
  <si>
    <t>132,5</t>
  </si>
  <si>
    <t>135,0</t>
  </si>
  <si>
    <t>Павлов Александр</t>
  </si>
  <si>
    <t>Открытая (15.04.1993)/27</t>
  </si>
  <si>
    <t>89,50</t>
  </si>
  <si>
    <t>125,0</t>
  </si>
  <si>
    <t>Циснецкий Антон</t>
  </si>
  <si>
    <t>Открытая (06.05.1991)/29</t>
  </si>
  <si>
    <t>98,80</t>
  </si>
  <si>
    <t>Захаров Олег</t>
  </si>
  <si>
    <t>Открытая (01.10.1988)/31</t>
  </si>
  <si>
    <t>98,70</t>
  </si>
  <si>
    <t>142,5</t>
  </si>
  <si>
    <t xml:space="preserve">Стасюк А. </t>
  </si>
  <si>
    <t>Гайдай Роман</t>
  </si>
  <si>
    <t>Открытая (26.04.1994)/26</t>
  </si>
  <si>
    <t>99,50</t>
  </si>
  <si>
    <t>Циванюк Александр</t>
  </si>
  <si>
    <t>Открытая (23.11.1981)/38</t>
  </si>
  <si>
    <t>110,00</t>
  </si>
  <si>
    <t xml:space="preserve">Красноярск/Красноярский край </t>
  </si>
  <si>
    <t>Краснов Евгений</t>
  </si>
  <si>
    <t>Открытая (15.03.1981)/39</t>
  </si>
  <si>
    <t>104,90</t>
  </si>
  <si>
    <t xml:space="preserve">Новосибирск/Новосибирская область </t>
  </si>
  <si>
    <t>Логинов Андрей</t>
  </si>
  <si>
    <t>104,50</t>
  </si>
  <si>
    <t>120,6425</t>
  </si>
  <si>
    <t>110,7810</t>
  </si>
  <si>
    <t>107,6040</t>
  </si>
  <si>
    <t>4</t>
  </si>
  <si>
    <t>250,0</t>
  </si>
  <si>
    <t>Становая тяга</t>
  </si>
  <si>
    <t>ВЕСОВАЯ КАТЕГОРИЯ   60</t>
  </si>
  <si>
    <t>Катаева Эльвира</t>
  </si>
  <si>
    <t>Открытая (07.01.1988)/32</t>
  </si>
  <si>
    <t>58,80</t>
  </si>
  <si>
    <t>ВЕСОВАЯ КАТЕГОРИЯ   75</t>
  </si>
  <si>
    <t>Поддубный Даниил</t>
  </si>
  <si>
    <t>Открытая (10.04.1994)/26</t>
  </si>
  <si>
    <t>74,00</t>
  </si>
  <si>
    <t xml:space="preserve">Ironman </t>
  </si>
  <si>
    <t>275,0</t>
  </si>
  <si>
    <t>292,5</t>
  </si>
  <si>
    <t>Замородских Алексей</t>
  </si>
  <si>
    <t>Открытая (10.03.1981)/39</t>
  </si>
  <si>
    <t>94,30</t>
  </si>
  <si>
    <t>215,0</t>
  </si>
  <si>
    <t>222,5</t>
  </si>
  <si>
    <t>Леоненко Василий</t>
  </si>
  <si>
    <t>93,40</t>
  </si>
  <si>
    <t>Ступин Сергей</t>
  </si>
  <si>
    <t>Открытая (11.01.1983)/37</t>
  </si>
  <si>
    <t xml:space="preserve">Симферлполь/Республика Крым </t>
  </si>
  <si>
    <t>320,0</t>
  </si>
  <si>
    <t>350,0</t>
  </si>
  <si>
    <t>Жигалов Руслан</t>
  </si>
  <si>
    <t>Открытая (10.08.1980)/40</t>
  </si>
  <si>
    <t>108,40</t>
  </si>
  <si>
    <t xml:space="preserve">Геленджик/Краснодарский край </t>
  </si>
  <si>
    <t>270,0</t>
  </si>
  <si>
    <t>290,0</t>
  </si>
  <si>
    <t>75</t>
  </si>
  <si>
    <t>197,8075</t>
  </si>
  <si>
    <t>189,4080</t>
  </si>
  <si>
    <t>171,4480</t>
  </si>
  <si>
    <t>ВЕСОВАЯ КАТЕГОРИЯ   48</t>
  </si>
  <si>
    <t>Кафтанова Юлия</t>
  </si>
  <si>
    <t>Открытая (13.02.1996)/24</t>
  </si>
  <si>
    <t>47,00</t>
  </si>
  <si>
    <t xml:space="preserve">Дмитров/Московская область </t>
  </si>
  <si>
    <t>110,0</t>
  </si>
  <si>
    <t>ВЕСОВАЯ КАТЕГОРИЯ   67.5</t>
  </si>
  <si>
    <t>Третьякова Оксана</t>
  </si>
  <si>
    <t>Открытая (23.10.1991)/28</t>
  </si>
  <si>
    <t>64,80</t>
  </si>
  <si>
    <t>Андрусяк Наталья</t>
  </si>
  <si>
    <t>Открытая (31.03.1996)/24</t>
  </si>
  <si>
    <t>70,70</t>
  </si>
  <si>
    <t>150,0</t>
  </si>
  <si>
    <t>Леушина Марина</t>
  </si>
  <si>
    <t>Открытая (05.02.1983)/37</t>
  </si>
  <si>
    <t>75,00</t>
  </si>
  <si>
    <t>115,0</t>
  </si>
  <si>
    <t>122,5</t>
  </si>
  <si>
    <t>ВЕСОВАЯ КАТЕГОРИЯ   52</t>
  </si>
  <si>
    <t>Ларин Даниил</t>
  </si>
  <si>
    <t>Юноши 15-19 (15.04.2007)/13</t>
  </si>
  <si>
    <t>40,70</t>
  </si>
  <si>
    <t>60,0</t>
  </si>
  <si>
    <t>65,0</t>
  </si>
  <si>
    <t>70,0</t>
  </si>
  <si>
    <t>Котов Алексей</t>
  </si>
  <si>
    <t>Открытая (19.09.1987)/32</t>
  </si>
  <si>
    <t>74,80</t>
  </si>
  <si>
    <t xml:space="preserve">Владивосток/Приморский край </t>
  </si>
  <si>
    <t>210,0</t>
  </si>
  <si>
    <t>Хекало Алексей</t>
  </si>
  <si>
    <t>Открытая (28.08.2000)/20</t>
  </si>
  <si>
    <t>78,90</t>
  </si>
  <si>
    <t xml:space="preserve">Анапа/Краснодарский край </t>
  </si>
  <si>
    <t>Якушев Андрей</t>
  </si>
  <si>
    <t>Юноши 15-19 (22.07.2004)/16</t>
  </si>
  <si>
    <t>97,60</t>
  </si>
  <si>
    <t>Пирогов Сергей</t>
  </si>
  <si>
    <t>Открытая (15.12.1972)/47</t>
  </si>
  <si>
    <t>97,50</t>
  </si>
  <si>
    <t>232,5</t>
  </si>
  <si>
    <t>Степин Дмитрий</t>
  </si>
  <si>
    <t>Открытая (10.09.1986)/33</t>
  </si>
  <si>
    <t>99,10</t>
  </si>
  <si>
    <t>217,5</t>
  </si>
  <si>
    <t>Савельев Дмитрий</t>
  </si>
  <si>
    <t>104,40</t>
  </si>
  <si>
    <t>77,5</t>
  </si>
  <si>
    <t>82,5</t>
  </si>
  <si>
    <t>Gloss</t>
  </si>
  <si>
    <t>Онищенко Александр</t>
  </si>
  <si>
    <t>Открытая (14.01.1998)/22</t>
  </si>
  <si>
    <t>74,60</t>
  </si>
  <si>
    <t>Стасюк Артем</t>
  </si>
  <si>
    <t>Открытая (30.05.1993)/27</t>
  </si>
  <si>
    <t>105,00</t>
  </si>
  <si>
    <t>280,0</t>
  </si>
  <si>
    <t>300,0</t>
  </si>
  <si>
    <t xml:space="preserve">Ляшенко А. </t>
  </si>
  <si>
    <t>Открытая (17.11.1977)/42</t>
  </si>
  <si>
    <t xml:space="preserve">Gloss </t>
  </si>
  <si>
    <t>159,7820</t>
  </si>
  <si>
    <t>149,5935</t>
  </si>
  <si>
    <t>137,9250</t>
  </si>
  <si>
    <t>Едреников Максим</t>
  </si>
  <si>
    <t>102,80</t>
  </si>
  <si>
    <t>202,5</t>
  </si>
  <si>
    <t>Открытая (21.07.1985)/35</t>
  </si>
  <si>
    <t>99,75</t>
  </si>
  <si>
    <t>315,0</t>
  </si>
  <si>
    <t>330,0</t>
  </si>
  <si>
    <t>Шабалин Дмитрий</t>
  </si>
  <si>
    <t>134,10</t>
  </si>
  <si>
    <t xml:space="preserve">Аксон </t>
  </si>
  <si>
    <t xml:space="preserve">Москва </t>
  </si>
  <si>
    <t>360,0</t>
  </si>
  <si>
    <t>380,0</t>
  </si>
  <si>
    <t>ВЕСОВАЯ КАТЕГОРИЯ   140+</t>
  </si>
  <si>
    <t>Барсков Антон</t>
  </si>
  <si>
    <t>Открытая (17.05.1984)/36</t>
  </si>
  <si>
    <t>165,50</t>
  </si>
  <si>
    <t>370,0</t>
  </si>
  <si>
    <t>400,0</t>
  </si>
  <si>
    <t>20,0</t>
  </si>
  <si>
    <t>Абибулаева Султание</t>
  </si>
  <si>
    <t>65,00</t>
  </si>
  <si>
    <t>25,0</t>
  </si>
  <si>
    <t>30,0</t>
  </si>
  <si>
    <t>32,5</t>
  </si>
  <si>
    <t>Подъем на бицепс</t>
  </si>
  <si>
    <t>Ручка Андрей</t>
  </si>
  <si>
    <t>41,70</t>
  </si>
  <si>
    <t xml:space="preserve">п. Советский/Республика Крым </t>
  </si>
  <si>
    <t>Тихомиров Николай</t>
  </si>
  <si>
    <t>Мастера 60+ (24.12.1956)/63</t>
  </si>
  <si>
    <t>67,10</t>
  </si>
  <si>
    <t>35,0</t>
  </si>
  <si>
    <t>40,0</t>
  </si>
  <si>
    <t>62,5</t>
  </si>
  <si>
    <t>Белянский Евгений</t>
  </si>
  <si>
    <t>Открытая (16.03.1988)/32</t>
  </si>
  <si>
    <t>100,60</t>
  </si>
  <si>
    <t>80,0</t>
  </si>
  <si>
    <t>Бураков Александр</t>
  </si>
  <si>
    <t>Открытая (15.06.1993)/27</t>
  </si>
  <si>
    <t>103,30</t>
  </si>
  <si>
    <t>Акбутаев Рудольф</t>
  </si>
  <si>
    <t>Открытая (19.11.1986)/33</t>
  </si>
  <si>
    <t>87,50</t>
  </si>
  <si>
    <t>Гребенюк Александр</t>
  </si>
  <si>
    <t>Открытая (16.04.1983)/37</t>
  </si>
  <si>
    <t>99,80</t>
  </si>
  <si>
    <t>Всероссийский мастерский турнир "Crimea Power PRO"
СПР Строгий подъем штанги на бицепс ДК
Коктебель/Республика Крым, 29 августа 2020 года</t>
  </si>
  <si>
    <t>Всероссийский мастерский турнир "Crimea Power PRO"
СПР Строгий подъем штанги на бицепс
Коктебель/Республика Крым, 29 августа 2020 года</t>
  </si>
  <si>
    <t>Всероссийский мастерский турнир "Crimea Power PRO"
СПР Жим лежа СФО
Коктебель/Республика Крым, 29 августа 2020 года</t>
  </si>
  <si>
    <t>Всероссийский мастерский турнир "Crimea Power PRO"
СПР Жим лежа в многопетельной софт экипировке ДК
Коктебель/Республика Крым, 29 августа 2020 года</t>
  </si>
  <si>
    <t>Всероссийский мастерский турнир "Crimea Power PRO"
СПР Жим лежа в многопетельной софт экипировке
Коктебель/Республика Крым, 29 августа 2020 года</t>
  </si>
  <si>
    <t>Всероссийский мастерский турнир "Crimea Power PRO"
СПР Жим лежа в однопетельной софт экипировке ДК
Коктебель/Республика Крым, 29 августа 2020 года</t>
  </si>
  <si>
    <t>Всероссийский мастерский турнир "Crimea Power PRO"
СПР Жим лежа в однопетельной софт экипировке
Коктебель/Республика Крым, 29 августа 2020 года</t>
  </si>
  <si>
    <t>Всероссийский мастерский турнир "Crimea Power PRO"
IPL Становая тяга в однослойной экипировке ДК
Коктебель/Республика Крым, 29 августа 2020 года</t>
  </si>
  <si>
    <t>Всероссийский мастерский турнир "Crimea Power PRO"
IPL Становая тяга без экипировки ДК
Коктебель/Республика Крым, 29 августа 2020 года</t>
  </si>
  <si>
    <t>Всероссийский мастерский турнир "Crimea Power PRO"
IPL Становая тяга без экипировки
Коктебель/Республика Крым, 29 августа 2020 года</t>
  </si>
  <si>
    <t>Всероссийский мастерский турнир "Crimea Power PRO"
IPL Жим лежа в однослойной экипировке
Коктебель/Республика Крым, 29 августа 2020 года</t>
  </si>
  <si>
    <t>Всероссийский мастерский турнир "Crimea Power PRO"
IPL Жим лежа без экипировки ДК
Коктебель/Республика Крым, 29 августа 2020 года</t>
  </si>
  <si>
    <t>Всероссийский мастерский турнир "Crimea Power PRO"
IPL Жим лежа без экипировки
Коктебель/Республика Крым, 29 августа 2020 года</t>
  </si>
  <si>
    <t>Мастера 40-44 (28.01.1980)/40</t>
  </si>
  <si>
    <t>Юниоры 20-23 (15.08.1997)/23</t>
  </si>
  <si>
    <t>Мастера 40-44 (05.07.1976)/44</t>
  </si>
  <si>
    <t>Мастера 40-44 (20.11.1977)/42</t>
  </si>
  <si>
    <t>Мастера 40-44 (26.02.1978)/42</t>
  </si>
  <si>
    <t>Мастера 75-79 (07.09.1941)/78</t>
  </si>
  <si>
    <t>Мастера 50-54 (20.12.1967)/52</t>
  </si>
  <si>
    <t>Мастера 40-44 (17.11.1977)/42</t>
  </si>
  <si>
    <t>Мастера 50-54 (12.02.1970)/50</t>
  </si>
  <si>
    <t>Мастера 40-49 (25.10.1976)/43</t>
  </si>
  <si>
    <t>Мастера 50-59 (19.01.1969)/51</t>
  </si>
  <si>
    <t>Юниорки 20-23 (27.06.2000)/20</t>
  </si>
  <si>
    <t>Мастера 45-49 (15.12.1972)/47</t>
  </si>
  <si>
    <t>Мастера 50-54 (06.04.1967)/53</t>
  </si>
  <si>
    <t>Мастера 40-44 (10.08.1980)/40</t>
  </si>
  <si>
    <t>Мастера 50-59 (06.04.1967)/53</t>
  </si>
  <si>
    <t>Юноши 13-19 (13.12.2008)/11</t>
  </si>
  <si>
    <t>Павленко Д.</t>
  </si>
  <si>
    <t xml:space="preserve">Симферополь/Республика Крым </t>
  </si>
  <si>
    <t>Москва</t>
  </si>
  <si>
    <t xml:space="preserve">Мастера Крыма </t>
  </si>
  <si>
    <t>Поддубный Д.</t>
  </si>
  <si>
    <t>Весовая категория</t>
  </si>
  <si>
    <t xml:space="preserve">Севастополь/Республика Крым </t>
  </si>
  <si>
    <t xml:space="preserve">Феодосия/Республика Крым </t>
  </si>
  <si>
    <t>Барсков А.</t>
  </si>
  <si>
    <t>Хасая Х.</t>
  </si>
  <si>
    <t>Похватько Р.</t>
  </si>
  <si>
    <t>Ляшенко А.</t>
  </si>
  <si>
    <t xml:space="preserve">Керчь/Республика Крым </t>
  </si>
  <si>
    <t xml:space="preserve">Судак/Республика Крым </t>
  </si>
  <si>
    <t>Горбунов В.</t>
  </si>
  <si>
    <t>Эреджепов Т.</t>
  </si>
  <si>
    <t>Холодный В.</t>
  </si>
  <si>
    <t xml:space="preserve">Джанкой/Республика Крым </t>
  </si>
  <si>
    <t>Ск "Баргест"</t>
  </si>
  <si>
    <t xml:space="preserve">Белогорск/Республика Крым </t>
  </si>
  <si>
    <t>Лисютин М.</t>
  </si>
  <si>
    <t>Катаев Л.</t>
  </si>
  <si>
    <t>Логвинова Н.</t>
  </si>
  <si>
    <t>Камышнюк С.</t>
  </si>
  <si>
    <t>Каспрук А.</t>
  </si>
  <si>
    <t>Пысь Д.</t>
  </si>
  <si>
    <t>СК "Баргест"</t>
  </si>
  <si>
    <t>Ручка С.</t>
  </si>
  <si>
    <t xml:space="preserve">Симферороль/Республика Крым </t>
  </si>
  <si>
    <t>Абдуллин М.</t>
  </si>
  <si>
    <t>Абдуллин Марат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</si>
</sst>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0"/>
  <sheetViews>
    <sheetView tabSelected="1" workbookViewId="0">
      <selection activeCell="P19" sqref="P19"/>
    </sheetView>
  </sheetViews>
  <sheetFormatPr baseColWidth="10" defaultColWidth="9.1640625" defaultRowHeight="13"/>
  <cols>
    <col min="1" max="1" width="7.1640625" style="7" bestFit="1" customWidth="1"/>
    <col min="2" max="2" width="18.66406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34.3320312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342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17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118</v>
      </c>
      <c r="C6" s="9" t="s">
        <v>346</v>
      </c>
      <c r="D6" s="9" t="s">
        <v>119</v>
      </c>
      <c r="E6" s="9" t="str">
        <f>"1,1766"</f>
        <v>1,1766</v>
      </c>
      <c r="F6" s="9" t="s">
        <v>364</v>
      </c>
      <c r="G6" s="9" t="s">
        <v>362</v>
      </c>
      <c r="H6" s="22" t="s">
        <v>120</v>
      </c>
      <c r="I6" s="29" t="s">
        <v>121</v>
      </c>
      <c r="J6" s="29" t="s">
        <v>121</v>
      </c>
      <c r="K6" s="10"/>
      <c r="L6" s="10" t="str">
        <f>"67,5"</f>
        <v>67,5</v>
      </c>
      <c r="M6" s="10" t="str">
        <f>"82,9150"</f>
        <v>82,9150</v>
      </c>
      <c r="N6" s="9" t="s">
        <v>361</v>
      </c>
    </row>
    <row r="7" spans="1:14">
      <c r="B7" s="7" t="s">
        <v>113</v>
      </c>
    </row>
    <row r="8" spans="1:14" ht="16">
      <c r="A8" s="35" t="s">
        <v>10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122</v>
      </c>
      <c r="C9" s="9" t="s">
        <v>347</v>
      </c>
      <c r="D9" s="9" t="s">
        <v>123</v>
      </c>
      <c r="E9" s="9" t="str">
        <f>"0,9318"</f>
        <v>0,9318</v>
      </c>
      <c r="F9" s="9" t="s">
        <v>124</v>
      </c>
      <c r="G9" s="9" t="s">
        <v>367</v>
      </c>
      <c r="H9" s="22" t="s">
        <v>15</v>
      </c>
      <c r="I9" s="22" t="s">
        <v>16</v>
      </c>
      <c r="J9" s="29" t="s">
        <v>125</v>
      </c>
      <c r="K9" s="10"/>
      <c r="L9" s="10" t="str">
        <f>"95,0"</f>
        <v>95,0</v>
      </c>
      <c r="M9" s="10" t="str">
        <f>"89,7603"</f>
        <v>89,7603</v>
      </c>
      <c r="N9" s="9" t="s">
        <v>369</v>
      </c>
    </row>
    <row r="10" spans="1:14">
      <c r="B10" s="7" t="s">
        <v>113</v>
      </c>
    </row>
    <row r="11" spans="1:14" ht="16">
      <c r="A11" s="35" t="s">
        <v>10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2" t="s">
        <v>112</v>
      </c>
      <c r="B12" s="11" t="s">
        <v>126</v>
      </c>
      <c r="C12" s="11" t="s">
        <v>127</v>
      </c>
      <c r="D12" s="11" t="s">
        <v>128</v>
      </c>
      <c r="E12" s="11" t="str">
        <f>"0,6769"</f>
        <v>0,6769</v>
      </c>
      <c r="F12" s="11" t="s">
        <v>364</v>
      </c>
      <c r="G12" s="11" t="s">
        <v>362</v>
      </c>
      <c r="H12" s="27" t="s">
        <v>26</v>
      </c>
      <c r="I12" s="27" t="s">
        <v>26</v>
      </c>
      <c r="J12" s="23" t="s">
        <v>26</v>
      </c>
      <c r="K12" s="12"/>
      <c r="L12" s="12" t="str">
        <f>"130,0"</f>
        <v>130,0</v>
      </c>
      <c r="M12" s="12" t="str">
        <f>"87,9970"</f>
        <v>87,9970</v>
      </c>
      <c r="N12" s="11" t="s">
        <v>361</v>
      </c>
    </row>
    <row r="13" spans="1:14">
      <c r="A13" s="14" t="s">
        <v>114</v>
      </c>
      <c r="B13" s="13" t="s">
        <v>129</v>
      </c>
      <c r="C13" s="13" t="s">
        <v>130</v>
      </c>
      <c r="D13" s="13" t="s">
        <v>131</v>
      </c>
      <c r="E13" s="13" t="str">
        <f>"0,6981"</f>
        <v>0,6981</v>
      </c>
      <c r="F13" s="13"/>
      <c r="G13" s="13" t="s">
        <v>132</v>
      </c>
      <c r="H13" s="24" t="s">
        <v>133</v>
      </c>
      <c r="I13" s="24" t="s">
        <v>134</v>
      </c>
      <c r="J13" s="24" t="s">
        <v>135</v>
      </c>
      <c r="K13" s="14"/>
      <c r="L13" s="14" t="str">
        <f>"127,5"</f>
        <v>127,5</v>
      </c>
      <c r="M13" s="14" t="str">
        <f>"89,0077"</f>
        <v>89,0077</v>
      </c>
      <c r="N13" s="13"/>
    </row>
    <row r="14" spans="1:14">
      <c r="A14" s="16" t="s">
        <v>112</v>
      </c>
      <c r="B14" s="15" t="s">
        <v>136</v>
      </c>
      <c r="C14" s="15" t="s">
        <v>137</v>
      </c>
      <c r="D14" s="15" t="s">
        <v>138</v>
      </c>
      <c r="E14" s="15" t="str">
        <f>"0,6714"</f>
        <v>0,6714</v>
      </c>
      <c r="F14" s="15"/>
      <c r="G14" s="15" t="s">
        <v>362</v>
      </c>
      <c r="H14" s="26" t="s">
        <v>64</v>
      </c>
      <c r="I14" s="26" t="s">
        <v>139</v>
      </c>
      <c r="J14" s="28" t="s">
        <v>42</v>
      </c>
      <c r="K14" s="16"/>
      <c r="L14" s="16" t="str">
        <f>"165,0"</f>
        <v>165,0</v>
      </c>
      <c r="M14" s="16" t="str">
        <f>"110,7810"</f>
        <v>110,7810</v>
      </c>
      <c r="N14" s="15" t="s">
        <v>370</v>
      </c>
    </row>
    <row r="15" spans="1:14">
      <c r="B15" s="7" t="s">
        <v>113</v>
      </c>
    </row>
    <row r="16" spans="1:14" ht="16">
      <c r="A16" s="35" t="s">
        <v>23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</row>
    <row r="17" spans="1:14">
      <c r="A17" s="12" t="s">
        <v>112</v>
      </c>
      <c r="B17" s="11" t="s">
        <v>140</v>
      </c>
      <c r="C17" s="11" t="s">
        <v>141</v>
      </c>
      <c r="D17" s="11" t="s">
        <v>142</v>
      </c>
      <c r="E17" s="11" t="str">
        <f>"0,6395"</f>
        <v>0,6395</v>
      </c>
      <c r="F17" s="11" t="s">
        <v>364</v>
      </c>
      <c r="G17" s="11" t="s">
        <v>362</v>
      </c>
      <c r="H17" s="23" t="s">
        <v>64</v>
      </c>
      <c r="I17" s="23" t="s">
        <v>143</v>
      </c>
      <c r="J17" s="23" t="s">
        <v>54</v>
      </c>
      <c r="K17" s="12"/>
      <c r="L17" s="12" t="str">
        <f>"160,0"</f>
        <v>160,0</v>
      </c>
      <c r="M17" s="12" t="str">
        <f>"102,3200"</f>
        <v>102,3200</v>
      </c>
      <c r="N17" s="11"/>
    </row>
    <row r="18" spans="1:14">
      <c r="A18" s="14" t="s">
        <v>114</v>
      </c>
      <c r="B18" s="13" t="s">
        <v>144</v>
      </c>
      <c r="C18" s="13" t="s">
        <v>145</v>
      </c>
      <c r="D18" s="13" t="s">
        <v>146</v>
      </c>
      <c r="E18" s="13" t="str">
        <f>"0,6421"</f>
        <v>0,6421</v>
      </c>
      <c r="F18" s="13" t="s">
        <v>364</v>
      </c>
      <c r="G18" s="13" t="s">
        <v>362</v>
      </c>
      <c r="H18" s="24" t="s">
        <v>28</v>
      </c>
      <c r="I18" s="24" t="s">
        <v>147</v>
      </c>
      <c r="J18" s="25" t="s">
        <v>54</v>
      </c>
      <c r="K18" s="14"/>
      <c r="L18" s="14" t="str">
        <f>"152,5"</f>
        <v>152,5</v>
      </c>
      <c r="M18" s="14" t="str">
        <f>"97,9202"</f>
        <v>97,9202</v>
      </c>
      <c r="N18" s="13" t="s">
        <v>371</v>
      </c>
    </row>
    <row r="19" spans="1:14">
      <c r="A19" s="14" t="s">
        <v>115</v>
      </c>
      <c r="B19" s="13" t="s">
        <v>148</v>
      </c>
      <c r="C19" s="13" t="s">
        <v>149</v>
      </c>
      <c r="D19" s="13" t="s">
        <v>150</v>
      </c>
      <c r="E19" s="13" t="str">
        <f>"0,6540"</f>
        <v>0,6540</v>
      </c>
      <c r="F19" s="13"/>
      <c r="G19" s="13" t="s">
        <v>367</v>
      </c>
      <c r="H19" s="24" t="s">
        <v>151</v>
      </c>
      <c r="I19" s="24" t="s">
        <v>152</v>
      </c>
      <c r="J19" s="25" t="s">
        <v>153</v>
      </c>
      <c r="K19" s="14"/>
      <c r="L19" s="14" t="str">
        <f>"132,5"</f>
        <v>132,5</v>
      </c>
      <c r="M19" s="14" t="str">
        <f>"86,6550"</f>
        <v>86,6550</v>
      </c>
      <c r="N19" s="13"/>
    </row>
    <row r="20" spans="1:14">
      <c r="A20" s="16" t="s">
        <v>182</v>
      </c>
      <c r="B20" s="15" t="s">
        <v>154</v>
      </c>
      <c r="C20" s="15" t="s">
        <v>155</v>
      </c>
      <c r="D20" s="15" t="s">
        <v>156</v>
      </c>
      <c r="E20" s="15" t="str">
        <f>"0,6402"</f>
        <v>0,6402</v>
      </c>
      <c r="F20" s="15"/>
      <c r="G20" s="15" t="s">
        <v>368</v>
      </c>
      <c r="H20" s="28" t="s">
        <v>157</v>
      </c>
      <c r="I20" s="26" t="s">
        <v>157</v>
      </c>
      <c r="J20" s="26" t="s">
        <v>152</v>
      </c>
      <c r="K20" s="16"/>
      <c r="L20" s="16" t="str">
        <f>"132,5"</f>
        <v>132,5</v>
      </c>
      <c r="M20" s="16" t="str">
        <f>"84,8265"</f>
        <v>84,8265</v>
      </c>
      <c r="N20" s="15"/>
    </row>
    <row r="21" spans="1:14">
      <c r="B21" s="7" t="s">
        <v>113</v>
      </c>
    </row>
    <row r="22" spans="1:14" ht="16">
      <c r="A22" s="35" t="s">
        <v>43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</row>
    <row r="23" spans="1:14">
      <c r="A23" s="12" t="s">
        <v>112</v>
      </c>
      <c r="B23" s="11" t="s">
        <v>158</v>
      </c>
      <c r="C23" s="11" t="s">
        <v>159</v>
      </c>
      <c r="D23" s="11" t="s">
        <v>160</v>
      </c>
      <c r="E23" s="11" t="str">
        <f>"0,6116"</f>
        <v>0,6116</v>
      </c>
      <c r="F23" s="11" t="s">
        <v>364</v>
      </c>
      <c r="G23" s="11" t="s">
        <v>362</v>
      </c>
      <c r="H23" s="23" t="s">
        <v>64</v>
      </c>
      <c r="I23" s="23" t="s">
        <v>40</v>
      </c>
      <c r="J23" s="23" t="s">
        <v>139</v>
      </c>
      <c r="K23" s="12"/>
      <c r="L23" s="12" t="str">
        <f>"165,0"</f>
        <v>165,0</v>
      </c>
      <c r="M23" s="12" t="str">
        <f>"100,9140"</f>
        <v>100,9140</v>
      </c>
      <c r="N23" s="11" t="s">
        <v>371</v>
      </c>
    </row>
    <row r="24" spans="1:14">
      <c r="A24" s="14" t="s">
        <v>114</v>
      </c>
      <c r="B24" s="13" t="s">
        <v>161</v>
      </c>
      <c r="C24" s="13" t="s">
        <v>162</v>
      </c>
      <c r="D24" s="13" t="s">
        <v>163</v>
      </c>
      <c r="E24" s="13" t="str">
        <f>"0,6118"</f>
        <v>0,6118</v>
      </c>
      <c r="F24" s="13"/>
      <c r="G24" s="13" t="s">
        <v>367</v>
      </c>
      <c r="H24" s="24" t="s">
        <v>164</v>
      </c>
      <c r="I24" s="25" t="s">
        <v>147</v>
      </c>
      <c r="J24" s="25" t="s">
        <v>40</v>
      </c>
      <c r="K24" s="14"/>
      <c r="L24" s="14" t="str">
        <f>"142,5"</f>
        <v>142,5</v>
      </c>
      <c r="M24" s="14" t="str">
        <f>"87,1815"</f>
        <v>87,1815</v>
      </c>
      <c r="N24" s="13" t="s">
        <v>165</v>
      </c>
    </row>
    <row r="25" spans="1:14">
      <c r="A25" s="16" t="s">
        <v>115</v>
      </c>
      <c r="B25" s="15" t="s">
        <v>166</v>
      </c>
      <c r="C25" s="15" t="s">
        <v>167</v>
      </c>
      <c r="D25" s="15" t="s">
        <v>168</v>
      </c>
      <c r="E25" s="15" t="str">
        <f>"0,6098"</f>
        <v>0,6098</v>
      </c>
      <c r="F25" s="15"/>
      <c r="G25" s="15" t="s">
        <v>367</v>
      </c>
      <c r="H25" s="26" t="s">
        <v>164</v>
      </c>
      <c r="I25" s="28" t="s">
        <v>147</v>
      </c>
      <c r="J25" s="28" t="s">
        <v>40</v>
      </c>
      <c r="K25" s="16"/>
      <c r="L25" s="16" t="str">
        <f>"142,5"</f>
        <v>142,5</v>
      </c>
      <c r="M25" s="16" t="str">
        <f>"86,8965"</f>
        <v>86,8965</v>
      </c>
      <c r="N25" s="15" t="s">
        <v>165</v>
      </c>
    </row>
    <row r="26" spans="1:14">
      <c r="B26" s="7" t="s">
        <v>113</v>
      </c>
    </row>
    <row r="27" spans="1:14" ht="16">
      <c r="A27" s="35" t="s">
        <v>65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</row>
    <row r="28" spans="1:14">
      <c r="A28" s="12" t="s">
        <v>112</v>
      </c>
      <c r="B28" s="11" t="s">
        <v>169</v>
      </c>
      <c r="C28" s="11" t="s">
        <v>170</v>
      </c>
      <c r="D28" s="11" t="s">
        <v>171</v>
      </c>
      <c r="E28" s="11" t="str">
        <f>"0,5885"</f>
        <v>0,5885</v>
      </c>
      <c r="F28" s="11"/>
      <c r="G28" s="11" t="s">
        <v>172</v>
      </c>
      <c r="H28" s="23" t="s">
        <v>89</v>
      </c>
      <c r="I28" s="23" t="s">
        <v>49</v>
      </c>
      <c r="J28" s="23" t="s">
        <v>90</v>
      </c>
      <c r="K28" s="12"/>
      <c r="L28" s="12" t="str">
        <f>"205,0"</f>
        <v>205,0</v>
      </c>
      <c r="M28" s="12" t="str">
        <f>"120,6425"</f>
        <v>120,6425</v>
      </c>
      <c r="N28" s="11"/>
    </row>
    <row r="29" spans="1:14">
      <c r="A29" s="14" t="s">
        <v>114</v>
      </c>
      <c r="B29" s="13" t="s">
        <v>173</v>
      </c>
      <c r="C29" s="13" t="s">
        <v>174</v>
      </c>
      <c r="D29" s="13" t="s">
        <v>175</v>
      </c>
      <c r="E29" s="13" t="str">
        <f>"0,5978"</f>
        <v>0,5978</v>
      </c>
      <c r="F29" s="13"/>
      <c r="G29" s="13" t="s">
        <v>176</v>
      </c>
      <c r="H29" s="24" t="s">
        <v>55</v>
      </c>
      <c r="I29" s="25" t="s">
        <v>36</v>
      </c>
      <c r="J29" s="24" t="s">
        <v>36</v>
      </c>
      <c r="K29" s="14"/>
      <c r="L29" s="14" t="str">
        <f>"180,0"</f>
        <v>180,0</v>
      </c>
      <c r="M29" s="14" t="str">
        <f>"107,6040"</f>
        <v>107,6040</v>
      </c>
      <c r="N29" s="13" t="s">
        <v>165</v>
      </c>
    </row>
    <row r="30" spans="1:14">
      <c r="A30" s="16" t="s">
        <v>112</v>
      </c>
      <c r="B30" s="15" t="s">
        <v>177</v>
      </c>
      <c r="C30" s="15" t="s">
        <v>348</v>
      </c>
      <c r="D30" s="15" t="s">
        <v>178</v>
      </c>
      <c r="E30" s="15" t="str">
        <f>"0,5986"</f>
        <v>0,5986</v>
      </c>
      <c r="F30" s="15" t="s">
        <v>124</v>
      </c>
      <c r="G30" s="15" t="s">
        <v>367</v>
      </c>
      <c r="H30" s="26" t="s">
        <v>64</v>
      </c>
      <c r="I30" s="26" t="s">
        <v>54</v>
      </c>
      <c r="J30" s="28" t="s">
        <v>40</v>
      </c>
      <c r="K30" s="16"/>
      <c r="L30" s="16" t="str">
        <f>"160,0"</f>
        <v>160,0</v>
      </c>
      <c r="M30" s="16" t="str">
        <f>"97,1169"</f>
        <v>97,1169</v>
      </c>
      <c r="N30" s="15" t="s">
        <v>369</v>
      </c>
    </row>
    <row r="31" spans="1:14">
      <c r="B31" s="7" t="s">
        <v>113</v>
      </c>
    </row>
    <row r="32" spans="1:14" ht="16">
      <c r="B32" s="7" t="s">
        <v>113</v>
      </c>
      <c r="F32" s="17"/>
    </row>
    <row r="33" spans="2:7">
      <c r="B33" s="7" t="s">
        <v>113</v>
      </c>
    </row>
    <row r="34" spans="2:7" ht="18">
      <c r="B34" s="18" t="s">
        <v>97</v>
      </c>
      <c r="C34" s="18"/>
      <c r="G34" s="3"/>
    </row>
    <row r="35" spans="2:7" ht="16">
      <c r="B35" s="19" t="s">
        <v>104</v>
      </c>
      <c r="C35" s="19"/>
      <c r="G35" s="3"/>
    </row>
    <row r="36" spans="2:7" ht="14">
      <c r="B36" s="21"/>
      <c r="C36" s="21" t="s">
        <v>98</v>
      </c>
      <c r="G36" s="3"/>
    </row>
    <row r="37" spans="2:7" ht="14">
      <c r="B37" s="6" t="s">
        <v>99</v>
      </c>
      <c r="C37" s="6" t="s">
        <v>100</v>
      </c>
      <c r="D37" s="6" t="s">
        <v>366</v>
      </c>
      <c r="E37" s="6" t="s">
        <v>101</v>
      </c>
      <c r="F37" s="6" t="s">
        <v>102</v>
      </c>
      <c r="G37" s="3"/>
    </row>
    <row r="38" spans="2:7">
      <c r="B38" s="7" t="s">
        <v>169</v>
      </c>
      <c r="C38" s="7" t="s">
        <v>98</v>
      </c>
      <c r="D38" s="8" t="s">
        <v>106</v>
      </c>
      <c r="E38" s="8" t="s">
        <v>90</v>
      </c>
      <c r="F38" s="8" t="s">
        <v>179</v>
      </c>
      <c r="G38" s="3"/>
    </row>
    <row r="39" spans="2:7">
      <c r="B39" s="7" t="s">
        <v>136</v>
      </c>
      <c r="C39" s="7" t="s">
        <v>98</v>
      </c>
      <c r="D39" s="8" t="s">
        <v>103</v>
      </c>
      <c r="E39" s="8" t="s">
        <v>139</v>
      </c>
      <c r="F39" s="8" t="s">
        <v>180</v>
      </c>
      <c r="G39" s="3"/>
    </row>
    <row r="40" spans="2:7">
      <c r="B40" s="7" t="s">
        <v>173</v>
      </c>
      <c r="C40" s="7" t="s">
        <v>98</v>
      </c>
      <c r="D40" s="8" t="s">
        <v>106</v>
      </c>
      <c r="E40" s="8" t="s">
        <v>36</v>
      </c>
      <c r="F40" s="8" t="s">
        <v>181</v>
      </c>
      <c r="G40" s="3"/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7:K27"/>
    <mergeCell ref="A5:K5"/>
    <mergeCell ref="A8:K8"/>
    <mergeCell ref="A11:K11"/>
    <mergeCell ref="A16:K16"/>
    <mergeCell ref="A22:K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1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9.832031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30.1640625" style="7" bestFit="1" customWidth="1"/>
    <col min="8" max="10" width="5.5" style="8" customWidth="1"/>
    <col min="11" max="11" width="4.5" style="8" customWidth="1"/>
    <col min="12" max="12" width="7.6640625" style="8" bestFit="1" customWidth="1"/>
    <col min="13" max="13" width="8.5" style="8" bestFit="1" customWidth="1"/>
    <col min="14" max="14" width="18.5" style="7" bestFit="1" customWidth="1"/>
    <col min="15" max="16384" width="9.1640625" style="3"/>
  </cols>
  <sheetData>
    <row r="1" spans="1:14" s="2" customFormat="1" ht="29" customHeight="1">
      <c r="A1" s="45" t="s">
        <v>340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8</v>
      </c>
      <c r="F3" s="39" t="s">
        <v>3</v>
      </c>
      <c r="G3" s="39" t="s">
        <v>6</v>
      </c>
      <c r="H3" s="39" t="s">
        <v>184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185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186</v>
      </c>
      <c r="C6" s="9" t="s">
        <v>187</v>
      </c>
      <c r="D6" s="9" t="s">
        <v>188</v>
      </c>
      <c r="E6" s="9" t="str">
        <f>"0,8689"</f>
        <v>0,8689</v>
      </c>
      <c r="F6" s="9" t="s">
        <v>387</v>
      </c>
      <c r="G6" s="9" t="s">
        <v>362</v>
      </c>
      <c r="H6" s="22" t="s">
        <v>139</v>
      </c>
      <c r="I6" s="22" t="s">
        <v>55</v>
      </c>
      <c r="J6" s="22" t="s">
        <v>35</v>
      </c>
      <c r="K6" s="10"/>
      <c r="L6" s="10" t="str">
        <f>"175,0"</f>
        <v>175,0</v>
      </c>
      <c r="M6" s="10" t="str">
        <f>"152,0575"</f>
        <v>152,0575</v>
      </c>
      <c r="N6" s="9"/>
    </row>
    <row r="7" spans="1:14">
      <c r="B7" s="7" t="s">
        <v>113</v>
      </c>
    </row>
    <row r="8" spans="1:14" ht="16">
      <c r="A8" s="35" t="s">
        <v>189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190</v>
      </c>
      <c r="C9" s="9" t="s">
        <v>191</v>
      </c>
      <c r="D9" s="9" t="s">
        <v>192</v>
      </c>
      <c r="E9" s="9" t="str">
        <f>"0,7193"</f>
        <v>0,7193</v>
      </c>
      <c r="F9" s="9" t="s">
        <v>193</v>
      </c>
      <c r="G9" s="9" t="s">
        <v>362</v>
      </c>
      <c r="H9" s="22" t="s">
        <v>71</v>
      </c>
      <c r="I9" s="22" t="s">
        <v>194</v>
      </c>
      <c r="J9" s="29" t="s">
        <v>195</v>
      </c>
      <c r="K9" s="10"/>
      <c r="L9" s="10" t="str">
        <f>"275,0"</f>
        <v>275,0</v>
      </c>
      <c r="M9" s="10" t="str">
        <f>"197,8075"</f>
        <v>197,8075</v>
      </c>
      <c r="N9" s="9"/>
    </row>
    <row r="10" spans="1:14">
      <c r="B10" s="7" t="s">
        <v>113</v>
      </c>
    </row>
    <row r="11" spans="1:14" ht="16">
      <c r="A11" s="35" t="s">
        <v>23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0" t="s">
        <v>112</v>
      </c>
      <c r="B12" s="9" t="s">
        <v>24</v>
      </c>
      <c r="C12" s="9" t="s">
        <v>345</v>
      </c>
      <c r="D12" s="9" t="s">
        <v>25</v>
      </c>
      <c r="E12" s="9" t="str">
        <f>"0,6483"</f>
        <v>0,6483</v>
      </c>
      <c r="F12" s="9"/>
      <c r="G12" s="9" t="s">
        <v>362</v>
      </c>
      <c r="H12" s="22" t="s">
        <v>29</v>
      </c>
      <c r="I12" s="22" t="s">
        <v>30</v>
      </c>
      <c r="J12" s="22" t="s">
        <v>31</v>
      </c>
      <c r="K12" s="10"/>
      <c r="L12" s="10" t="str">
        <f>"240,0"</f>
        <v>240,0</v>
      </c>
      <c r="M12" s="10" t="str">
        <f>"155,5920"</f>
        <v>155,5920</v>
      </c>
      <c r="N12" s="9" t="s">
        <v>365</v>
      </c>
    </row>
    <row r="13" spans="1:14">
      <c r="B13" s="7" t="s">
        <v>113</v>
      </c>
    </row>
    <row r="14" spans="1:14" ht="16">
      <c r="A14" s="35" t="s">
        <v>43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</row>
    <row r="15" spans="1:14">
      <c r="A15" s="12" t="s">
        <v>112</v>
      </c>
      <c r="B15" s="11" t="s">
        <v>196</v>
      </c>
      <c r="C15" s="11" t="s">
        <v>197</v>
      </c>
      <c r="D15" s="11" t="s">
        <v>198</v>
      </c>
      <c r="E15" s="11" t="str">
        <f>"0,6241"</f>
        <v>0,6241</v>
      </c>
      <c r="F15" s="11" t="s">
        <v>387</v>
      </c>
      <c r="G15" s="11" t="s">
        <v>362</v>
      </c>
      <c r="H15" s="23" t="s">
        <v>49</v>
      </c>
      <c r="I15" s="23" t="s">
        <v>199</v>
      </c>
      <c r="J15" s="23" t="s">
        <v>200</v>
      </c>
      <c r="K15" s="12"/>
      <c r="L15" s="12" t="str">
        <f>"222,5"</f>
        <v>222,5</v>
      </c>
      <c r="M15" s="12" t="str">
        <f>"138,8623"</f>
        <v>138,8623</v>
      </c>
      <c r="N15" s="11"/>
    </row>
    <row r="16" spans="1:14">
      <c r="A16" s="16" t="s">
        <v>112</v>
      </c>
      <c r="B16" s="15" t="s">
        <v>201</v>
      </c>
      <c r="C16" s="15" t="s">
        <v>357</v>
      </c>
      <c r="D16" s="15" t="s">
        <v>202</v>
      </c>
      <c r="E16" s="15" t="str">
        <f>"0,6269"</f>
        <v>0,6269</v>
      </c>
      <c r="F16" s="15" t="s">
        <v>364</v>
      </c>
      <c r="G16" s="15" t="s">
        <v>362</v>
      </c>
      <c r="H16" s="26" t="s">
        <v>76</v>
      </c>
      <c r="I16" s="28" t="s">
        <v>31</v>
      </c>
      <c r="J16" s="28" t="s">
        <v>31</v>
      </c>
      <c r="K16" s="16"/>
      <c r="L16" s="16" t="str">
        <f>"230,0"</f>
        <v>230,0</v>
      </c>
      <c r="M16" s="16" t="str">
        <f>"174,0337"</f>
        <v>174,0337</v>
      </c>
      <c r="N16" s="15" t="s">
        <v>371</v>
      </c>
    </row>
    <row r="17" spans="1:14">
      <c r="B17" s="7" t="s">
        <v>113</v>
      </c>
    </row>
    <row r="18" spans="1:14" ht="16">
      <c r="A18" s="35" t="s">
        <v>65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</row>
    <row r="19" spans="1:14">
      <c r="A19" s="12" t="s">
        <v>112</v>
      </c>
      <c r="B19" s="11" t="s">
        <v>203</v>
      </c>
      <c r="C19" s="11" t="s">
        <v>204</v>
      </c>
      <c r="D19" s="11" t="s">
        <v>75</v>
      </c>
      <c r="E19" s="11" t="str">
        <f>"0,5919"</f>
        <v>0,5919</v>
      </c>
      <c r="F19" s="11"/>
      <c r="G19" s="11" t="s">
        <v>205</v>
      </c>
      <c r="H19" s="23" t="s">
        <v>206</v>
      </c>
      <c r="I19" s="27" t="s">
        <v>207</v>
      </c>
      <c r="J19" s="27" t="s">
        <v>207</v>
      </c>
      <c r="K19" s="12"/>
      <c r="L19" s="12" t="str">
        <f>"320,0"</f>
        <v>320,0</v>
      </c>
      <c r="M19" s="12" t="str">
        <f>"189,4080"</f>
        <v>189,4080</v>
      </c>
      <c r="N19" s="11"/>
    </row>
    <row r="20" spans="1:14">
      <c r="A20" s="14" t="s">
        <v>114</v>
      </c>
      <c r="B20" s="13" t="s">
        <v>208</v>
      </c>
      <c r="C20" s="13" t="s">
        <v>209</v>
      </c>
      <c r="D20" s="13" t="s">
        <v>210</v>
      </c>
      <c r="E20" s="13" t="str">
        <f>"0,5912"</f>
        <v>0,5912</v>
      </c>
      <c r="F20" s="13"/>
      <c r="G20" s="13" t="s">
        <v>211</v>
      </c>
      <c r="H20" s="25" t="s">
        <v>212</v>
      </c>
      <c r="I20" s="24" t="s">
        <v>212</v>
      </c>
      <c r="J20" s="24" t="s">
        <v>213</v>
      </c>
      <c r="K20" s="14"/>
      <c r="L20" s="14" t="str">
        <f>"290,0"</f>
        <v>290,0</v>
      </c>
      <c r="M20" s="14" t="str">
        <f>"171,4480"</f>
        <v>171,4480</v>
      </c>
      <c r="N20" s="13" t="s">
        <v>386</v>
      </c>
    </row>
    <row r="21" spans="1:14">
      <c r="A21" s="16" t="s">
        <v>112</v>
      </c>
      <c r="B21" s="15" t="s">
        <v>208</v>
      </c>
      <c r="C21" s="15" t="s">
        <v>358</v>
      </c>
      <c r="D21" s="15" t="s">
        <v>210</v>
      </c>
      <c r="E21" s="15" t="str">
        <f>"0,5912"</f>
        <v>0,5912</v>
      </c>
      <c r="F21" s="15"/>
      <c r="G21" s="15" t="s">
        <v>211</v>
      </c>
      <c r="H21" s="28" t="s">
        <v>212</v>
      </c>
      <c r="I21" s="26" t="s">
        <v>212</v>
      </c>
      <c r="J21" s="26" t="s">
        <v>213</v>
      </c>
      <c r="K21" s="16"/>
      <c r="L21" s="16" t="str">
        <f>"290,0"</f>
        <v>290,0</v>
      </c>
      <c r="M21" s="16" t="str">
        <f>"171,4480"</f>
        <v>171,4480</v>
      </c>
      <c r="N21" s="15" t="s">
        <v>386</v>
      </c>
    </row>
    <row r="22" spans="1:14">
      <c r="B22" s="7" t="s">
        <v>113</v>
      </c>
    </row>
    <row r="23" spans="1:14" ht="16">
      <c r="B23" s="7" t="s">
        <v>113</v>
      </c>
      <c r="F23" s="17"/>
    </row>
    <row r="24" spans="1:14">
      <c r="B24" s="7" t="s">
        <v>113</v>
      </c>
    </row>
    <row r="25" spans="1:14" ht="18">
      <c r="B25" s="18" t="s">
        <v>97</v>
      </c>
      <c r="C25" s="18"/>
      <c r="G25" s="3"/>
    </row>
    <row r="26" spans="1:14" ht="16">
      <c r="B26" s="19" t="s">
        <v>104</v>
      </c>
      <c r="C26" s="19"/>
      <c r="G26" s="3"/>
    </row>
    <row r="27" spans="1:14" ht="14">
      <c r="B27" s="20"/>
      <c r="C27" s="21" t="s">
        <v>98</v>
      </c>
      <c r="G27" s="3"/>
    </row>
    <row r="28" spans="1:14" ht="14">
      <c r="B28" s="5" t="s">
        <v>99</v>
      </c>
      <c r="C28" s="5" t="s">
        <v>100</v>
      </c>
      <c r="D28" s="5" t="s">
        <v>366</v>
      </c>
      <c r="E28" s="5" t="s">
        <v>101</v>
      </c>
      <c r="F28" s="5" t="s">
        <v>102</v>
      </c>
      <c r="G28" s="3"/>
    </row>
    <row r="29" spans="1:14">
      <c r="B29" s="7" t="s">
        <v>190</v>
      </c>
      <c r="C29" s="7" t="s">
        <v>98</v>
      </c>
      <c r="D29" s="8" t="s">
        <v>214</v>
      </c>
      <c r="E29" s="8" t="s">
        <v>194</v>
      </c>
      <c r="F29" s="8" t="s">
        <v>215</v>
      </c>
      <c r="G29" s="3"/>
    </row>
    <row r="30" spans="1:14">
      <c r="B30" s="7" t="s">
        <v>203</v>
      </c>
      <c r="C30" s="7" t="s">
        <v>98</v>
      </c>
      <c r="D30" s="8" t="s">
        <v>106</v>
      </c>
      <c r="E30" s="8" t="s">
        <v>206</v>
      </c>
      <c r="F30" s="8" t="s">
        <v>216</v>
      </c>
      <c r="G30" s="3"/>
    </row>
    <row r="31" spans="1:14">
      <c r="B31" s="7" t="s">
        <v>208</v>
      </c>
      <c r="C31" s="7" t="s">
        <v>98</v>
      </c>
      <c r="D31" s="8" t="s">
        <v>106</v>
      </c>
      <c r="E31" s="8" t="s">
        <v>213</v>
      </c>
      <c r="F31" s="8" t="s">
        <v>217</v>
      </c>
      <c r="G31" s="3"/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A18:K18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3.83203125" style="7" bestFit="1" customWidth="1"/>
    <col min="3" max="3" width="25.1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28.164062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22.33203125" style="7" customWidth="1"/>
    <col min="15" max="16384" width="9.1640625" style="3"/>
  </cols>
  <sheetData>
    <row r="1" spans="1:14" s="2" customFormat="1" ht="29" customHeight="1">
      <c r="A1" s="45" t="s">
        <v>338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>
      <c r="A3" s="65" t="s">
        <v>117</v>
      </c>
      <c r="B3" s="58" t="s">
        <v>0</v>
      </c>
      <c r="C3" s="66" t="s">
        <v>5</v>
      </c>
      <c r="D3" s="66" t="s">
        <v>7</v>
      </c>
      <c r="E3" s="59" t="s">
        <v>8</v>
      </c>
      <c r="F3" s="59" t="s">
        <v>3</v>
      </c>
      <c r="G3" s="59" t="s">
        <v>6</v>
      </c>
      <c r="H3" s="59" t="s">
        <v>184</v>
      </c>
      <c r="I3" s="59"/>
      <c r="J3" s="59"/>
      <c r="K3" s="59"/>
      <c r="L3" s="59" t="s">
        <v>111</v>
      </c>
      <c r="M3" s="59" t="s">
        <v>2</v>
      </c>
      <c r="N3" s="60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189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244</v>
      </c>
      <c r="C6" s="9" t="s">
        <v>245</v>
      </c>
      <c r="D6" s="9" t="s">
        <v>246</v>
      </c>
      <c r="E6" s="9" t="str">
        <f>"0,7139"</f>
        <v>0,7139</v>
      </c>
      <c r="F6" s="9"/>
      <c r="G6" s="9" t="s">
        <v>247</v>
      </c>
      <c r="H6" s="22" t="s">
        <v>30</v>
      </c>
      <c r="I6" s="29" t="s">
        <v>31</v>
      </c>
      <c r="J6" s="29" t="s">
        <v>31</v>
      </c>
      <c r="K6" s="10"/>
      <c r="L6" s="10" t="str">
        <f>"225,0"</f>
        <v>225,0</v>
      </c>
      <c r="M6" s="10" t="str">
        <f>"160,6275"</f>
        <v>160,6275</v>
      </c>
      <c r="N6" s="9"/>
    </row>
    <row r="7" spans="1:14">
      <c r="B7" s="7" t="s">
        <v>113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9.16406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27.5" style="7" bestFit="1" customWidth="1"/>
    <col min="8" max="11" width="4.5" style="8" customWidth="1"/>
    <col min="12" max="12" width="7.6640625" style="8" bestFit="1" customWidth="1"/>
    <col min="13" max="13" width="7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331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308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35" t="s">
        <v>23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>
      <c r="A6" s="10" t="s">
        <v>112</v>
      </c>
      <c r="B6" s="9" t="s">
        <v>325</v>
      </c>
      <c r="C6" s="9" t="s">
        <v>326</v>
      </c>
      <c r="D6" s="9" t="s">
        <v>327</v>
      </c>
      <c r="E6" s="9" t="str">
        <f>"0,6217"</f>
        <v>0,6217</v>
      </c>
      <c r="F6" s="9" t="s">
        <v>124</v>
      </c>
      <c r="G6" s="9" t="s">
        <v>367</v>
      </c>
      <c r="H6" s="22" t="s">
        <v>22</v>
      </c>
      <c r="I6" s="22" t="s">
        <v>242</v>
      </c>
      <c r="J6" s="29" t="s">
        <v>121</v>
      </c>
      <c r="K6" s="10"/>
      <c r="L6" s="10" t="str">
        <f>"65,0"</f>
        <v>65,0</v>
      </c>
      <c r="M6" s="10" t="str">
        <f>"40,4137"</f>
        <v>40,4137</v>
      </c>
      <c r="N6" s="9" t="s">
        <v>369</v>
      </c>
    </row>
    <row r="7" spans="1:14">
      <c r="B7" s="7" t="s">
        <v>113</v>
      </c>
    </row>
    <row r="8" spans="1:14" ht="16">
      <c r="A8" s="35" t="s">
        <v>43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2" t="s">
        <v>112</v>
      </c>
      <c r="B9" s="11" t="s">
        <v>260</v>
      </c>
      <c r="C9" s="11" t="s">
        <v>261</v>
      </c>
      <c r="D9" s="11" t="s">
        <v>262</v>
      </c>
      <c r="E9" s="11" t="str">
        <f>"0,5835"</f>
        <v>0,5835</v>
      </c>
      <c r="F9" s="11" t="s">
        <v>124</v>
      </c>
      <c r="G9" s="11" t="s">
        <v>367</v>
      </c>
      <c r="H9" s="23" t="s">
        <v>317</v>
      </c>
      <c r="I9" s="23" t="s">
        <v>243</v>
      </c>
      <c r="J9" s="27" t="s">
        <v>266</v>
      </c>
      <c r="K9" s="12"/>
      <c r="L9" s="12" t="str">
        <f>"70,0"</f>
        <v>70,0</v>
      </c>
      <c r="M9" s="12" t="str">
        <f>"40,8485"</f>
        <v>40,8485</v>
      </c>
      <c r="N9" s="11" t="s">
        <v>369</v>
      </c>
    </row>
    <row r="10" spans="1:14">
      <c r="A10" s="14" t="s">
        <v>114</v>
      </c>
      <c r="B10" s="13" t="s">
        <v>328</v>
      </c>
      <c r="C10" s="13" t="s">
        <v>329</v>
      </c>
      <c r="D10" s="13" t="s">
        <v>330</v>
      </c>
      <c r="E10" s="13" t="str">
        <f>"0,5818"</f>
        <v>0,5818</v>
      </c>
      <c r="F10" s="13" t="s">
        <v>124</v>
      </c>
      <c r="G10" s="13" t="s">
        <v>367</v>
      </c>
      <c r="H10" s="25" t="s">
        <v>21</v>
      </c>
      <c r="I10" s="24" t="s">
        <v>22</v>
      </c>
      <c r="J10" s="24" t="s">
        <v>317</v>
      </c>
      <c r="K10" s="14"/>
      <c r="L10" s="14" t="str">
        <f>"62,5"</f>
        <v>62,5</v>
      </c>
      <c r="M10" s="14" t="str">
        <f>"36,3625"</f>
        <v>36,3625</v>
      </c>
      <c r="N10" s="13" t="s">
        <v>369</v>
      </c>
    </row>
    <row r="11" spans="1:14">
      <c r="A11" s="16" t="s">
        <v>112</v>
      </c>
      <c r="B11" s="15" t="s">
        <v>201</v>
      </c>
      <c r="C11" s="15" t="s">
        <v>359</v>
      </c>
      <c r="D11" s="15" t="s">
        <v>202</v>
      </c>
      <c r="E11" s="15" t="str">
        <f>"0,6000"</f>
        <v>0,6000</v>
      </c>
      <c r="F11" s="15" t="s">
        <v>364</v>
      </c>
      <c r="G11" s="15" t="s">
        <v>362</v>
      </c>
      <c r="H11" s="26" t="s">
        <v>22</v>
      </c>
      <c r="I11" s="26" t="s">
        <v>241</v>
      </c>
      <c r="J11" s="26" t="s">
        <v>317</v>
      </c>
      <c r="K11" s="16"/>
      <c r="L11" s="16" t="str">
        <f>"62,5"</f>
        <v>62,5</v>
      </c>
      <c r="M11" s="16" t="str">
        <f>"44,3963"</f>
        <v>44,3963</v>
      </c>
      <c r="N11" s="15" t="s">
        <v>371</v>
      </c>
    </row>
    <row r="12" spans="1:14">
      <c r="B12" s="7" t="s">
        <v>113</v>
      </c>
    </row>
  </sheetData>
  <mergeCells count="14">
    <mergeCell ref="N3:N4"/>
    <mergeCell ref="A1:N2"/>
    <mergeCell ref="A3:A4"/>
    <mergeCell ref="C3:C4"/>
    <mergeCell ref="D3:D4"/>
    <mergeCell ref="E3:E4"/>
    <mergeCell ref="F3:F4"/>
    <mergeCell ref="G3:G4"/>
    <mergeCell ref="H3:K3"/>
    <mergeCell ref="A5:K5"/>
    <mergeCell ref="A8:K8"/>
    <mergeCell ref="B3:B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>
      <selection activeCell="G25" sqref="G25"/>
    </sheetView>
  </sheetViews>
  <sheetFormatPr baseColWidth="10" defaultColWidth="9.1640625" defaultRowHeight="13"/>
  <cols>
    <col min="1" max="1" width="7.1640625" style="7" bestFit="1" customWidth="1"/>
    <col min="2" max="2" width="18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35.5" style="7" customWidth="1"/>
    <col min="8" max="11" width="4.5" style="8" customWidth="1"/>
    <col min="12" max="12" width="7.6640625" style="8" bestFit="1" customWidth="1"/>
    <col min="13" max="13" width="7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332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308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237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309</v>
      </c>
      <c r="C6" s="9" t="s">
        <v>360</v>
      </c>
      <c r="D6" s="9" t="s">
        <v>310</v>
      </c>
      <c r="E6" s="9" t="str">
        <f>"1,2563"</f>
        <v>1,2563</v>
      </c>
      <c r="F6" s="9" t="s">
        <v>364</v>
      </c>
      <c r="G6" s="9" t="s">
        <v>311</v>
      </c>
      <c r="H6" s="22" t="s">
        <v>302</v>
      </c>
      <c r="I6" s="10"/>
      <c r="J6" s="10"/>
      <c r="K6" s="10"/>
      <c r="L6" s="10" t="str">
        <f>"20,0"</f>
        <v>20,0</v>
      </c>
      <c r="M6" s="10" t="str">
        <f>"25,1250"</f>
        <v>25,1250</v>
      </c>
      <c r="N6" s="9" t="s">
        <v>388</v>
      </c>
    </row>
    <row r="7" spans="1:14">
      <c r="B7" s="7" t="s">
        <v>113</v>
      </c>
    </row>
    <row r="8" spans="1:14" ht="16">
      <c r="A8" s="35" t="s">
        <v>224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312</v>
      </c>
      <c r="C9" s="9" t="s">
        <v>313</v>
      </c>
      <c r="D9" s="9" t="s">
        <v>314</v>
      </c>
      <c r="E9" s="9" t="str">
        <f>"0,7522"</f>
        <v>0,7522</v>
      </c>
      <c r="F9" s="9"/>
      <c r="G9" s="9" t="s">
        <v>362</v>
      </c>
      <c r="H9" s="29" t="s">
        <v>306</v>
      </c>
      <c r="I9" s="22" t="s">
        <v>315</v>
      </c>
      <c r="J9" s="22" t="s">
        <v>316</v>
      </c>
      <c r="K9" s="10"/>
      <c r="L9" s="10" t="str">
        <f>"40,0"</f>
        <v>40,0</v>
      </c>
      <c r="M9" s="10" t="str">
        <f>"42,7550"</f>
        <v>42,7550</v>
      </c>
      <c r="N9" s="9"/>
    </row>
    <row r="10" spans="1:14">
      <c r="B10" s="7" t="s">
        <v>113</v>
      </c>
    </row>
    <row r="11" spans="1:14" ht="16">
      <c r="A11" s="35" t="s">
        <v>43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0" t="s">
        <v>112</v>
      </c>
      <c r="B12" s="9" t="s">
        <v>201</v>
      </c>
      <c r="C12" s="9" t="s">
        <v>359</v>
      </c>
      <c r="D12" s="9" t="s">
        <v>202</v>
      </c>
      <c r="E12" s="9" t="str">
        <f>"0,6000"</f>
        <v>0,6000</v>
      </c>
      <c r="F12" s="9" t="s">
        <v>364</v>
      </c>
      <c r="G12" s="9" t="s">
        <v>362</v>
      </c>
      <c r="H12" s="22" t="s">
        <v>22</v>
      </c>
      <c r="I12" s="22" t="s">
        <v>241</v>
      </c>
      <c r="J12" s="22" t="s">
        <v>317</v>
      </c>
      <c r="K12" s="10"/>
      <c r="L12" s="10" t="str">
        <f>"62,5"</f>
        <v>62,5</v>
      </c>
      <c r="M12" s="10" t="str">
        <f>"44,3963"</f>
        <v>44,3963</v>
      </c>
      <c r="N12" s="9" t="s">
        <v>371</v>
      </c>
    </row>
    <row r="13" spans="1:14">
      <c r="B13" s="7" t="s">
        <v>113</v>
      </c>
    </row>
    <row r="14" spans="1:14" ht="16">
      <c r="A14" s="35" t="s">
        <v>65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</row>
    <row r="15" spans="1:14">
      <c r="A15" s="12" t="s">
        <v>112</v>
      </c>
      <c r="B15" s="11" t="s">
        <v>318</v>
      </c>
      <c r="C15" s="11" t="s">
        <v>319</v>
      </c>
      <c r="D15" s="11" t="s">
        <v>320</v>
      </c>
      <c r="E15" s="11" t="str">
        <f>"0,5799"</f>
        <v>0,5799</v>
      </c>
      <c r="F15" s="11"/>
      <c r="G15" s="11" t="s">
        <v>389</v>
      </c>
      <c r="H15" s="23" t="s">
        <v>243</v>
      </c>
      <c r="I15" s="23" t="s">
        <v>321</v>
      </c>
      <c r="J15" s="27" t="s">
        <v>14</v>
      </c>
      <c r="K15" s="12"/>
      <c r="L15" s="12" t="str">
        <f>"80,0"</f>
        <v>80,0</v>
      </c>
      <c r="M15" s="12" t="str">
        <f>"46,3880"</f>
        <v>46,3880</v>
      </c>
      <c r="N15" s="11"/>
    </row>
    <row r="16" spans="1:14">
      <c r="A16" s="16" t="s">
        <v>114</v>
      </c>
      <c r="B16" s="15" t="s">
        <v>322</v>
      </c>
      <c r="C16" s="15" t="s">
        <v>323</v>
      </c>
      <c r="D16" s="15" t="s">
        <v>324</v>
      </c>
      <c r="E16" s="15" t="str">
        <f>"0,5740"</f>
        <v>0,5740</v>
      </c>
      <c r="F16" s="15"/>
      <c r="G16" s="15" t="s">
        <v>362</v>
      </c>
      <c r="H16" s="26" t="s">
        <v>243</v>
      </c>
      <c r="I16" s="28" t="s">
        <v>267</v>
      </c>
      <c r="J16" s="28" t="s">
        <v>267</v>
      </c>
      <c r="K16" s="16"/>
      <c r="L16" s="16" t="str">
        <f>"70,0"</f>
        <v>70,0</v>
      </c>
      <c r="M16" s="16" t="str">
        <f>"40,1800"</f>
        <v>40,1800</v>
      </c>
      <c r="N16" s="15"/>
    </row>
    <row r="17" spans="2:2">
      <c r="B17" s="7" t="s">
        <v>113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B3:B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5">
    <pageSetUpPr fitToPage="1"/>
  </sheetPr>
  <dimension ref="A1:N42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22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6.33203125" style="7" bestFit="1" customWidth="1"/>
    <col min="7" max="7" width="33.1640625" style="7" bestFit="1" customWidth="1"/>
    <col min="8" max="11" width="5.5" style="8" customWidth="1"/>
    <col min="12" max="12" width="10.5" style="30" bestFit="1" customWidth="1"/>
    <col min="13" max="13" width="8.5" style="8" bestFit="1" customWidth="1"/>
    <col min="14" max="14" width="28.33203125" style="7" bestFit="1" customWidth="1"/>
    <col min="15" max="16384" width="9.1640625" style="3"/>
  </cols>
  <sheetData>
    <row r="1" spans="1:14" s="2" customFormat="1" ht="29" customHeight="1">
      <c r="A1" s="45" t="s">
        <v>343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56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57"/>
      <c r="M4" s="40"/>
      <c r="N4" s="42"/>
    </row>
    <row r="5" spans="1:14" ht="16">
      <c r="A5" s="43" t="s">
        <v>10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11</v>
      </c>
      <c r="C6" s="9" t="s">
        <v>12</v>
      </c>
      <c r="D6" s="9" t="s">
        <v>13</v>
      </c>
      <c r="E6" s="9" t="str">
        <f>"0,9311"</f>
        <v>0,9311</v>
      </c>
      <c r="F6" s="9"/>
      <c r="G6" s="9" t="s">
        <v>362</v>
      </c>
      <c r="H6" s="22" t="s">
        <v>14</v>
      </c>
      <c r="I6" s="22" t="s">
        <v>15</v>
      </c>
      <c r="J6" s="22" t="s">
        <v>16</v>
      </c>
      <c r="K6" s="10"/>
      <c r="L6" s="31" t="str">
        <f>"95,0"</f>
        <v>95,0</v>
      </c>
      <c r="M6" s="10" t="str">
        <f>"88,4545"</f>
        <v>88,4545</v>
      </c>
      <c r="N6" s="9" t="s">
        <v>375</v>
      </c>
    </row>
    <row r="7" spans="1:14">
      <c r="B7" s="7" t="s">
        <v>113</v>
      </c>
    </row>
    <row r="8" spans="1:14" ht="16">
      <c r="A8" s="35" t="s">
        <v>17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18</v>
      </c>
      <c r="C9" s="9" t="s">
        <v>349</v>
      </c>
      <c r="D9" s="9" t="s">
        <v>19</v>
      </c>
      <c r="E9" s="9" t="str">
        <f>"0,9152"</f>
        <v>0,9152</v>
      </c>
      <c r="F9" s="9" t="s">
        <v>20</v>
      </c>
      <c r="G9" s="9" t="s">
        <v>362</v>
      </c>
      <c r="H9" s="22" t="s">
        <v>21</v>
      </c>
      <c r="I9" s="22" t="s">
        <v>22</v>
      </c>
      <c r="J9" s="10"/>
      <c r="K9" s="10"/>
      <c r="L9" s="31" t="str">
        <f>"57,5"</f>
        <v>57,5</v>
      </c>
      <c r="M9" s="10" t="str">
        <f>"106,3005"</f>
        <v>106,3005</v>
      </c>
      <c r="N9" s="9" t="s">
        <v>375</v>
      </c>
    </row>
    <row r="10" spans="1:14">
      <c r="B10" s="7" t="s">
        <v>113</v>
      </c>
    </row>
    <row r="11" spans="1:14" ht="16">
      <c r="A11" s="35" t="s">
        <v>23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2" t="s">
        <v>112</v>
      </c>
      <c r="B12" s="11" t="s">
        <v>24</v>
      </c>
      <c r="C12" s="11" t="s">
        <v>345</v>
      </c>
      <c r="D12" s="11" t="s">
        <v>25</v>
      </c>
      <c r="E12" s="11" t="str">
        <f>"0,6483"</f>
        <v>0,6483</v>
      </c>
      <c r="F12" s="11"/>
      <c r="G12" s="11" t="s">
        <v>362</v>
      </c>
      <c r="H12" s="23" t="s">
        <v>26</v>
      </c>
      <c r="I12" s="23" t="s">
        <v>27</v>
      </c>
      <c r="J12" s="23" t="s">
        <v>28</v>
      </c>
      <c r="K12" s="12"/>
      <c r="L12" s="32" t="str">
        <f>"145,0"</f>
        <v>145,0</v>
      </c>
      <c r="M12" s="12" t="str">
        <f>"94,0035"</f>
        <v>94,0035</v>
      </c>
      <c r="N12" s="11" t="s">
        <v>365</v>
      </c>
    </row>
    <row r="13" spans="1:14">
      <c r="A13" s="14" t="s">
        <v>112</v>
      </c>
      <c r="B13" s="13" t="s">
        <v>32</v>
      </c>
      <c r="C13" s="13" t="s">
        <v>33</v>
      </c>
      <c r="D13" s="13" t="s">
        <v>34</v>
      </c>
      <c r="E13" s="13" t="str">
        <f>"0,6562"</f>
        <v>0,6562</v>
      </c>
      <c r="F13" s="13"/>
      <c r="G13" s="13" t="s">
        <v>362</v>
      </c>
      <c r="H13" s="24" t="s">
        <v>35</v>
      </c>
      <c r="I13" s="25" t="s">
        <v>36</v>
      </c>
      <c r="J13" s="25" t="s">
        <v>36</v>
      </c>
      <c r="K13" s="14"/>
      <c r="L13" s="33" t="str">
        <f>"175,0"</f>
        <v>175,0</v>
      </c>
      <c r="M13" s="14" t="str">
        <f>"114,8350"</f>
        <v>114,8350</v>
      </c>
      <c r="N13" s="13"/>
    </row>
    <row r="14" spans="1:14">
      <c r="A14" s="16" t="s">
        <v>114</v>
      </c>
      <c r="B14" s="15" t="s">
        <v>37</v>
      </c>
      <c r="C14" s="15" t="s">
        <v>38</v>
      </c>
      <c r="D14" s="15" t="s">
        <v>39</v>
      </c>
      <c r="E14" s="15" t="str">
        <f>"0,6528"</f>
        <v>0,6528</v>
      </c>
      <c r="F14" s="15"/>
      <c r="G14" s="15" t="s">
        <v>362</v>
      </c>
      <c r="H14" s="26" t="s">
        <v>40</v>
      </c>
      <c r="I14" s="26" t="s">
        <v>41</v>
      </c>
      <c r="J14" s="26" t="s">
        <v>42</v>
      </c>
      <c r="K14" s="16"/>
      <c r="L14" s="34" t="str">
        <f>"172,5"</f>
        <v>172,5</v>
      </c>
      <c r="M14" s="16" t="str">
        <f>"112,6080"</f>
        <v>112,6080</v>
      </c>
      <c r="N14" s="15"/>
    </row>
    <row r="15" spans="1:14">
      <c r="B15" s="7" t="s">
        <v>113</v>
      </c>
    </row>
    <row r="16" spans="1:14" ht="16">
      <c r="A16" s="35" t="s">
        <v>43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</row>
    <row r="17" spans="1:14">
      <c r="A17" s="12" t="s">
        <v>112</v>
      </c>
      <c r="B17" s="11" t="s">
        <v>44</v>
      </c>
      <c r="C17" s="11" t="s">
        <v>45</v>
      </c>
      <c r="D17" s="11" t="s">
        <v>46</v>
      </c>
      <c r="E17" s="11" t="str">
        <f>"0,6088"</f>
        <v>0,6088</v>
      </c>
      <c r="F17" s="11"/>
      <c r="G17" s="11" t="s">
        <v>362</v>
      </c>
      <c r="H17" s="23" t="s">
        <v>47</v>
      </c>
      <c r="I17" s="23" t="s">
        <v>48</v>
      </c>
      <c r="J17" s="27" t="s">
        <v>49</v>
      </c>
      <c r="K17" s="12"/>
      <c r="L17" s="32" t="str">
        <f>"192,5"</f>
        <v>192,5</v>
      </c>
      <c r="M17" s="12" t="str">
        <f>"117,1940"</f>
        <v>117,1940</v>
      </c>
      <c r="N17" s="11" t="s">
        <v>376</v>
      </c>
    </row>
    <row r="18" spans="1:14">
      <c r="A18" s="14" t="s">
        <v>114</v>
      </c>
      <c r="B18" s="13" t="s">
        <v>50</v>
      </c>
      <c r="C18" s="13" t="s">
        <v>51</v>
      </c>
      <c r="D18" s="13" t="s">
        <v>52</v>
      </c>
      <c r="E18" s="13" t="str">
        <f>"0,6172"</f>
        <v>0,6172</v>
      </c>
      <c r="F18" s="13"/>
      <c r="G18" s="13" t="s">
        <v>53</v>
      </c>
      <c r="H18" s="24" t="s">
        <v>54</v>
      </c>
      <c r="I18" s="24" t="s">
        <v>55</v>
      </c>
      <c r="J18" s="24" t="s">
        <v>36</v>
      </c>
      <c r="K18" s="14"/>
      <c r="L18" s="33" t="str">
        <f>"180,0"</f>
        <v>180,0</v>
      </c>
      <c r="M18" s="14" t="str">
        <f>"111,0960"</f>
        <v>111,0960</v>
      </c>
      <c r="N18" s="13"/>
    </row>
    <row r="19" spans="1:14">
      <c r="A19" s="14" t="s">
        <v>115</v>
      </c>
      <c r="B19" s="13" t="s">
        <v>56</v>
      </c>
      <c r="C19" s="13" t="s">
        <v>57</v>
      </c>
      <c r="D19" s="13" t="s">
        <v>58</v>
      </c>
      <c r="E19" s="13" t="str">
        <f>"0,6163"</f>
        <v>0,6163</v>
      </c>
      <c r="F19" s="13"/>
      <c r="G19" s="13" t="s">
        <v>59</v>
      </c>
      <c r="H19" s="24" t="s">
        <v>26</v>
      </c>
      <c r="I19" s="24" t="s">
        <v>60</v>
      </c>
      <c r="J19" s="25" t="s">
        <v>28</v>
      </c>
      <c r="K19" s="14"/>
      <c r="L19" s="33" t="str">
        <f>"140,0"</f>
        <v>140,0</v>
      </c>
      <c r="M19" s="14" t="str">
        <f>"86,2820"</f>
        <v>86,2820</v>
      </c>
      <c r="N19" s="13" t="s">
        <v>61</v>
      </c>
    </row>
    <row r="20" spans="1:14">
      <c r="A20" s="16" t="s">
        <v>112</v>
      </c>
      <c r="B20" s="15" t="s">
        <v>62</v>
      </c>
      <c r="C20" s="15" t="s">
        <v>350</v>
      </c>
      <c r="D20" s="15" t="s">
        <v>63</v>
      </c>
      <c r="E20" s="15" t="str">
        <f>"0,6155"</f>
        <v>0,6155</v>
      </c>
      <c r="F20" s="15" t="s">
        <v>20</v>
      </c>
      <c r="G20" s="15" t="s">
        <v>362</v>
      </c>
      <c r="H20" s="26" t="s">
        <v>28</v>
      </c>
      <c r="I20" s="26" t="s">
        <v>64</v>
      </c>
      <c r="J20" s="26" t="s">
        <v>54</v>
      </c>
      <c r="K20" s="16"/>
      <c r="L20" s="34" t="str">
        <f>"160,0"</f>
        <v>160,0</v>
      </c>
      <c r="M20" s="16" t="str">
        <f>"116,8958"</f>
        <v>116,8958</v>
      </c>
      <c r="N20" s="15"/>
    </row>
    <row r="21" spans="1:14">
      <c r="B21" s="7" t="s">
        <v>113</v>
      </c>
    </row>
    <row r="22" spans="1:14" ht="16">
      <c r="A22" s="35" t="s">
        <v>65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</row>
    <row r="23" spans="1:14">
      <c r="A23" s="12" t="s">
        <v>112</v>
      </c>
      <c r="B23" s="11" t="s">
        <v>66</v>
      </c>
      <c r="C23" s="11" t="s">
        <v>67</v>
      </c>
      <c r="D23" s="11" t="s">
        <v>68</v>
      </c>
      <c r="E23" s="11" t="str">
        <f>"0,5902"</f>
        <v>0,5902</v>
      </c>
      <c r="F23" s="11" t="s">
        <v>20</v>
      </c>
      <c r="G23" s="11" t="s">
        <v>362</v>
      </c>
      <c r="H23" s="23" t="s">
        <v>69</v>
      </c>
      <c r="I23" s="23" t="s">
        <v>70</v>
      </c>
      <c r="J23" s="23" t="s">
        <v>71</v>
      </c>
      <c r="K23" s="27" t="s">
        <v>72</v>
      </c>
      <c r="L23" s="32" t="str">
        <f>"260,0"</f>
        <v>260,0</v>
      </c>
      <c r="M23" s="12" t="str">
        <f>"153,4520"</f>
        <v>153,4520</v>
      </c>
      <c r="N23" s="11" t="s">
        <v>375</v>
      </c>
    </row>
    <row r="24" spans="1:14">
      <c r="A24" s="14" t="s">
        <v>114</v>
      </c>
      <c r="B24" s="13" t="s">
        <v>73</v>
      </c>
      <c r="C24" s="13" t="s">
        <v>74</v>
      </c>
      <c r="D24" s="13" t="s">
        <v>75</v>
      </c>
      <c r="E24" s="13" t="str">
        <f>"0,5919"</f>
        <v>0,5919</v>
      </c>
      <c r="F24" s="13"/>
      <c r="G24" s="13" t="s">
        <v>59</v>
      </c>
      <c r="H24" s="24" t="s">
        <v>76</v>
      </c>
      <c r="I24" s="24" t="s">
        <v>69</v>
      </c>
      <c r="J24" s="25" t="s">
        <v>70</v>
      </c>
      <c r="K24" s="14"/>
      <c r="L24" s="33" t="str">
        <f>"245,0"</f>
        <v>245,0</v>
      </c>
      <c r="M24" s="14" t="str">
        <f>"145,0155"</f>
        <v>145,0155</v>
      </c>
      <c r="N24" s="13"/>
    </row>
    <row r="25" spans="1:14">
      <c r="A25" s="16" t="s">
        <v>115</v>
      </c>
      <c r="B25" s="15" t="s">
        <v>77</v>
      </c>
      <c r="C25" s="15" t="s">
        <v>78</v>
      </c>
      <c r="D25" s="15" t="s">
        <v>79</v>
      </c>
      <c r="E25" s="15" t="str">
        <f>"0,6004"</f>
        <v>0,6004</v>
      </c>
      <c r="F25" s="15" t="s">
        <v>364</v>
      </c>
      <c r="G25" s="15" t="s">
        <v>362</v>
      </c>
      <c r="H25" s="26" t="s">
        <v>80</v>
      </c>
      <c r="I25" s="28" t="s">
        <v>30</v>
      </c>
      <c r="J25" s="28" t="s">
        <v>76</v>
      </c>
      <c r="K25" s="16"/>
      <c r="L25" s="34" t="str">
        <f>"220,0"</f>
        <v>220,0</v>
      </c>
      <c r="M25" s="16" t="str">
        <f>"132,0880"</f>
        <v>132,0880</v>
      </c>
      <c r="N25" s="15"/>
    </row>
    <row r="26" spans="1:14">
      <c r="B26" s="7" t="s">
        <v>113</v>
      </c>
    </row>
    <row r="27" spans="1:14" ht="16">
      <c r="A27" s="35" t="s">
        <v>81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</row>
    <row r="28" spans="1:14">
      <c r="A28" s="12" t="s">
        <v>112</v>
      </c>
      <c r="B28" s="11" t="s">
        <v>82</v>
      </c>
      <c r="C28" s="11" t="s">
        <v>83</v>
      </c>
      <c r="D28" s="11" t="s">
        <v>84</v>
      </c>
      <c r="E28" s="11" t="str">
        <f>"0,5746"</f>
        <v>0,5746</v>
      </c>
      <c r="F28" s="11"/>
      <c r="G28" s="11" t="s">
        <v>373</v>
      </c>
      <c r="H28" s="23" t="s">
        <v>36</v>
      </c>
      <c r="I28" s="23" t="s">
        <v>48</v>
      </c>
      <c r="J28" s="23" t="s">
        <v>49</v>
      </c>
      <c r="K28" s="12"/>
      <c r="L28" s="32" t="str">
        <f>"200,0"</f>
        <v>200,0</v>
      </c>
      <c r="M28" s="12" t="str">
        <f>"114,9200"</f>
        <v>114,9200</v>
      </c>
      <c r="N28" s="11" t="s">
        <v>85</v>
      </c>
    </row>
    <row r="29" spans="1:14">
      <c r="A29" s="14" t="s">
        <v>112</v>
      </c>
      <c r="B29" s="13" t="s">
        <v>86</v>
      </c>
      <c r="C29" s="13" t="s">
        <v>351</v>
      </c>
      <c r="D29" s="13" t="s">
        <v>87</v>
      </c>
      <c r="E29" s="13" t="str">
        <f>"0,5785"</f>
        <v>0,5785</v>
      </c>
      <c r="F29" s="13" t="s">
        <v>88</v>
      </c>
      <c r="G29" s="13" t="s">
        <v>367</v>
      </c>
      <c r="H29" s="24" t="s">
        <v>89</v>
      </c>
      <c r="I29" s="24" t="s">
        <v>49</v>
      </c>
      <c r="J29" s="25" t="s">
        <v>90</v>
      </c>
      <c r="K29" s="14"/>
      <c r="L29" s="33" t="str">
        <f>"200,0"</f>
        <v>200,0</v>
      </c>
      <c r="M29" s="14" t="str">
        <f>"117,3198"</f>
        <v>117,3198</v>
      </c>
      <c r="N29" s="13" t="s">
        <v>372</v>
      </c>
    </row>
    <row r="30" spans="1:14">
      <c r="A30" s="16" t="s">
        <v>112</v>
      </c>
      <c r="B30" s="15" t="s">
        <v>91</v>
      </c>
      <c r="C30" s="15" t="s">
        <v>352</v>
      </c>
      <c r="D30" s="15" t="s">
        <v>92</v>
      </c>
      <c r="E30" s="15" t="str">
        <f>"0,5816"</f>
        <v>0,5816</v>
      </c>
      <c r="F30" s="15"/>
      <c r="G30" s="15" t="s">
        <v>293</v>
      </c>
      <c r="H30" s="28" t="s">
        <v>36</v>
      </c>
      <c r="I30" s="26" t="s">
        <v>36</v>
      </c>
      <c r="J30" s="16"/>
      <c r="K30" s="16"/>
      <c r="L30" s="34" t="str">
        <f>"180,0"</f>
        <v>180,0</v>
      </c>
      <c r="M30" s="16" t="str">
        <f>"120,3912"</f>
        <v>120,3912</v>
      </c>
      <c r="N30" s="15" t="s">
        <v>390</v>
      </c>
    </row>
    <row r="31" spans="1:14">
      <c r="B31" s="7" t="s">
        <v>113</v>
      </c>
    </row>
    <row r="32" spans="1:14" ht="16">
      <c r="A32" s="35" t="s">
        <v>93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</row>
    <row r="33" spans="1:14">
      <c r="A33" s="10" t="s">
        <v>116</v>
      </c>
      <c r="B33" s="9" t="s">
        <v>94</v>
      </c>
      <c r="C33" s="9" t="s">
        <v>95</v>
      </c>
      <c r="D33" s="9" t="s">
        <v>96</v>
      </c>
      <c r="E33" s="9" t="str">
        <f>"0,5629"</f>
        <v>0,5629</v>
      </c>
      <c r="F33" s="9"/>
      <c r="G33" s="9" t="s">
        <v>374</v>
      </c>
      <c r="H33" s="29" t="s">
        <v>49</v>
      </c>
      <c r="I33" s="10"/>
      <c r="J33" s="10"/>
      <c r="K33" s="10"/>
      <c r="L33" s="31">
        <v>0</v>
      </c>
      <c r="M33" s="10" t="str">
        <f>"0,0000"</f>
        <v>0,0000</v>
      </c>
      <c r="N33" s="9" t="s">
        <v>370</v>
      </c>
    </row>
    <row r="34" spans="1:14">
      <c r="B34" s="7" t="s">
        <v>113</v>
      </c>
    </row>
    <row r="35" spans="1:14" ht="16">
      <c r="B35" s="7" t="s">
        <v>113</v>
      </c>
      <c r="F35" s="17"/>
    </row>
    <row r="36" spans="1:14">
      <c r="B36" s="7" t="s">
        <v>113</v>
      </c>
    </row>
    <row r="37" spans="1:14" ht="18">
      <c r="B37" s="18" t="s">
        <v>97</v>
      </c>
      <c r="C37" s="18"/>
      <c r="G37" s="3"/>
    </row>
    <row r="38" spans="1:14" ht="14">
      <c r="B38" s="20"/>
      <c r="C38" s="21" t="s">
        <v>98</v>
      </c>
      <c r="G38" s="3"/>
    </row>
    <row r="39" spans="1:14" ht="14">
      <c r="B39" s="5" t="s">
        <v>99</v>
      </c>
      <c r="C39" s="5" t="s">
        <v>100</v>
      </c>
      <c r="D39" s="5" t="s">
        <v>366</v>
      </c>
      <c r="E39" s="5" t="s">
        <v>101</v>
      </c>
      <c r="F39" s="5" t="s">
        <v>102</v>
      </c>
      <c r="G39" s="3"/>
    </row>
    <row r="40" spans="1:14">
      <c r="B40" s="7" t="s">
        <v>66</v>
      </c>
      <c r="C40" s="7" t="s">
        <v>98</v>
      </c>
      <c r="D40" s="8" t="s">
        <v>106</v>
      </c>
      <c r="E40" s="8" t="s">
        <v>71</v>
      </c>
      <c r="F40" s="8" t="s">
        <v>107</v>
      </c>
      <c r="G40" s="3"/>
    </row>
    <row r="41" spans="1:14">
      <c r="B41" s="7" t="s">
        <v>73</v>
      </c>
      <c r="C41" s="7" t="s">
        <v>98</v>
      </c>
      <c r="D41" s="8" t="s">
        <v>106</v>
      </c>
      <c r="E41" s="8" t="s">
        <v>69</v>
      </c>
      <c r="F41" s="8" t="s">
        <v>108</v>
      </c>
      <c r="G41" s="3"/>
    </row>
    <row r="42" spans="1:14">
      <c r="B42" s="7" t="s">
        <v>77</v>
      </c>
      <c r="C42" s="7" t="s">
        <v>98</v>
      </c>
      <c r="D42" s="8" t="s">
        <v>106</v>
      </c>
      <c r="E42" s="8" t="s">
        <v>80</v>
      </c>
      <c r="F42" s="8" t="s">
        <v>109</v>
      </c>
      <c r="G42" s="3"/>
    </row>
  </sheetData>
  <mergeCells count="19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27:K27"/>
    <mergeCell ref="A32:K32"/>
    <mergeCell ref="B3:B4"/>
    <mergeCell ref="A5:K5"/>
    <mergeCell ref="A8:K8"/>
    <mergeCell ref="A11:K11"/>
    <mergeCell ref="A16:K16"/>
    <mergeCell ref="A22:K22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5.832031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16.1640625" style="7" bestFit="1" customWidth="1"/>
    <col min="8" max="10" width="5.5" style="8" customWidth="1"/>
    <col min="11" max="11" width="4.33203125" style="8" bestFit="1" customWidth="1"/>
    <col min="12" max="12" width="10.5" style="8" bestFit="1" customWidth="1"/>
    <col min="13" max="13" width="8.5" style="8" bestFit="1" customWidth="1"/>
    <col min="14" max="14" width="15" style="7" bestFit="1" customWidth="1"/>
    <col min="15" max="16384" width="9.1640625" style="3"/>
  </cols>
  <sheetData>
    <row r="1" spans="1:14" s="2" customFormat="1" ht="29" customHeight="1">
      <c r="A1" s="45" t="s">
        <v>341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81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91</v>
      </c>
      <c r="C6" s="9" t="s">
        <v>352</v>
      </c>
      <c r="D6" s="9" t="s">
        <v>92</v>
      </c>
      <c r="E6" s="9" t="str">
        <f>"0,5816"</f>
        <v>0,5816</v>
      </c>
      <c r="F6" s="9"/>
      <c r="G6" s="9" t="s">
        <v>293</v>
      </c>
      <c r="H6" s="29" t="s">
        <v>183</v>
      </c>
      <c r="I6" s="22" t="s">
        <v>183</v>
      </c>
      <c r="J6" s="29" t="s">
        <v>71</v>
      </c>
      <c r="K6" s="10"/>
      <c r="L6" s="10" t="str">
        <f>"250,0"</f>
        <v>250,0</v>
      </c>
      <c r="M6" s="10" t="str">
        <f>"167,2100"</f>
        <v>167,2100</v>
      </c>
      <c r="N6" s="9" t="s">
        <v>390</v>
      </c>
    </row>
    <row r="7" spans="1:14">
      <c r="B7" s="7" t="s">
        <v>113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7.332031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2.83203125" style="7" bestFit="1" customWidth="1"/>
    <col min="7" max="7" width="27.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336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>
      <c r="A3" s="65" t="s">
        <v>117</v>
      </c>
      <c r="B3" s="58" t="s">
        <v>0</v>
      </c>
      <c r="C3" s="66" t="s">
        <v>5</v>
      </c>
      <c r="D3" s="66" t="s">
        <v>7</v>
      </c>
      <c r="E3" s="59" t="s">
        <v>268</v>
      </c>
      <c r="F3" s="59" t="s">
        <v>3</v>
      </c>
      <c r="G3" s="59" t="s">
        <v>6</v>
      </c>
      <c r="H3" s="59" t="s">
        <v>9</v>
      </c>
      <c r="I3" s="59"/>
      <c r="J3" s="59"/>
      <c r="K3" s="59"/>
      <c r="L3" s="59" t="s">
        <v>111</v>
      </c>
      <c r="M3" s="59" t="s">
        <v>2</v>
      </c>
      <c r="N3" s="60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23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140</v>
      </c>
      <c r="C6" s="9" t="s">
        <v>141</v>
      </c>
      <c r="D6" s="9" t="s">
        <v>142</v>
      </c>
      <c r="E6" s="9" t="str">
        <f>"0,6130"</f>
        <v>0,6130</v>
      </c>
      <c r="F6" s="9" t="s">
        <v>364</v>
      </c>
      <c r="G6" s="9" t="s">
        <v>362</v>
      </c>
      <c r="H6" s="22" t="s">
        <v>263</v>
      </c>
      <c r="I6" s="22" t="s">
        <v>30</v>
      </c>
      <c r="J6" s="10"/>
      <c r="K6" s="10"/>
      <c r="L6" s="10" t="str">
        <f>"225,0"</f>
        <v>225,0</v>
      </c>
      <c r="M6" s="10" t="str">
        <f>"137,9250"</f>
        <v>137,9250</v>
      </c>
      <c r="N6" s="9"/>
    </row>
    <row r="7" spans="1:14">
      <c r="B7" s="7" t="s">
        <v>113</v>
      </c>
    </row>
    <row r="8" spans="1:14" ht="16">
      <c r="A8" s="35" t="s">
        <v>65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283</v>
      </c>
      <c r="C9" s="9" t="s">
        <v>353</v>
      </c>
      <c r="D9" s="9" t="s">
        <v>284</v>
      </c>
      <c r="E9" s="9" t="str">
        <f>"0,5750"</f>
        <v>0,5750</v>
      </c>
      <c r="F9" s="9" t="s">
        <v>364</v>
      </c>
      <c r="G9" s="9" t="s">
        <v>362</v>
      </c>
      <c r="H9" s="22" t="s">
        <v>36</v>
      </c>
      <c r="I9" s="22" t="s">
        <v>48</v>
      </c>
      <c r="J9" s="22" t="s">
        <v>285</v>
      </c>
      <c r="K9" s="10"/>
      <c r="L9" s="10" t="str">
        <f>"202,5"</f>
        <v>202,5</v>
      </c>
      <c r="M9" s="10" t="str">
        <f>"120,0471"</f>
        <v>120,0471</v>
      </c>
      <c r="N9" s="9"/>
    </row>
    <row r="10" spans="1:14">
      <c r="B10" s="7" t="s">
        <v>113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9.6640625" style="7" bestFit="1" customWidth="1"/>
    <col min="3" max="3" width="25.1640625" style="7" bestFit="1" customWidth="1"/>
    <col min="4" max="4" width="20.83203125" style="7" bestFit="1" customWidth="1"/>
    <col min="5" max="5" width="10.1640625" style="7" bestFit="1" customWidth="1"/>
    <col min="6" max="6" width="26.33203125" style="7" bestFit="1" customWidth="1"/>
    <col min="7" max="7" width="27.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337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189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269</v>
      </c>
      <c r="C6" s="9" t="s">
        <v>270</v>
      </c>
      <c r="D6" s="9" t="s">
        <v>271</v>
      </c>
      <c r="E6" s="9" t="str">
        <f>"0,6913"</f>
        <v>0,6913</v>
      </c>
      <c r="F6" s="9"/>
      <c r="G6" s="9" t="s">
        <v>367</v>
      </c>
      <c r="H6" s="22" t="s">
        <v>89</v>
      </c>
      <c r="I6" s="29" t="s">
        <v>263</v>
      </c>
      <c r="J6" s="29" t="s">
        <v>263</v>
      </c>
      <c r="K6" s="10"/>
      <c r="L6" s="10" t="str">
        <f>"190,0"</f>
        <v>190,0</v>
      </c>
      <c r="M6" s="10" t="str">
        <f>"131,3375"</f>
        <v>131,3375</v>
      </c>
      <c r="N6" s="9"/>
    </row>
    <row r="7" spans="1:14">
      <c r="B7" s="7" t="s">
        <v>113</v>
      </c>
    </row>
    <row r="8" spans="1:14" ht="16">
      <c r="A8" s="35" t="s">
        <v>23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140</v>
      </c>
      <c r="C9" s="9" t="s">
        <v>141</v>
      </c>
      <c r="D9" s="9" t="s">
        <v>142</v>
      </c>
      <c r="E9" s="9" t="str">
        <f>"0,6130"</f>
        <v>0,6130</v>
      </c>
      <c r="F9" s="9" t="s">
        <v>364</v>
      </c>
      <c r="G9" s="9" t="s">
        <v>362</v>
      </c>
      <c r="H9" s="22" t="s">
        <v>263</v>
      </c>
      <c r="I9" s="22" t="s">
        <v>30</v>
      </c>
      <c r="J9" s="10"/>
      <c r="K9" s="10"/>
      <c r="L9" s="10" t="str">
        <f>"225,0"</f>
        <v>225,0</v>
      </c>
      <c r="M9" s="10" t="str">
        <f>"137,9250"</f>
        <v>137,9250</v>
      </c>
      <c r="N9" s="9"/>
    </row>
    <row r="10" spans="1:14">
      <c r="B10" s="7" t="s">
        <v>113</v>
      </c>
    </row>
    <row r="11" spans="1:14" ht="16">
      <c r="A11" s="35" t="s">
        <v>65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0" t="s">
        <v>112</v>
      </c>
      <c r="B12" s="9" t="s">
        <v>272</v>
      </c>
      <c r="C12" s="9" t="s">
        <v>273</v>
      </c>
      <c r="D12" s="9" t="s">
        <v>274</v>
      </c>
      <c r="E12" s="9" t="str">
        <f>"0,5706"</f>
        <v>0,5706</v>
      </c>
      <c r="F12" s="9"/>
      <c r="G12" s="9" t="s">
        <v>367</v>
      </c>
      <c r="H12" s="22" t="s">
        <v>275</v>
      </c>
      <c r="I12" s="29" t="s">
        <v>276</v>
      </c>
      <c r="J12" s="29" t="s">
        <v>276</v>
      </c>
      <c r="K12" s="10"/>
      <c r="L12" s="10" t="str">
        <f>"280,0"</f>
        <v>280,0</v>
      </c>
      <c r="M12" s="10" t="str">
        <f>"159,7820"</f>
        <v>159,7820</v>
      </c>
      <c r="N12" s="9" t="s">
        <v>277</v>
      </c>
    </row>
    <row r="13" spans="1:14">
      <c r="B13" s="7" t="s">
        <v>113</v>
      </c>
    </row>
    <row r="14" spans="1:14" ht="16">
      <c r="A14" s="35" t="s">
        <v>81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</row>
    <row r="15" spans="1:14">
      <c r="A15" s="10" t="s">
        <v>112</v>
      </c>
      <c r="B15" s="9" t="s">
        <v>86</v>
      </c>
      <c r="C15" s="9" t="s">
        <v>278</v>
      </c>
      <c r="D15" s="9" t="s">
        <v>87</v>
      </c>
      <c r="E15" s="9" t="str">
        <f>"0,5541"</f>
        <v>0,5541</v>
      </c>
      <c r="F15" s="9" t="s">
        <v>88</v>
      </c>
      <c r="G15" s="9" t="s">
        <v>367</v>
      </c>
      <c r="H15" s="22" t="s">
        <v>212</v>
      </c>
      <c r="I15" s="29" t="s">
        <v>276</v>
      </c>
      <c r="J15" s="29" t="s">
        <v>276</v>
      </c>
      <c r="K15" s="10"/>
      <c r="L15" s="10" t="str">
        <f>"270,0"</f>
        <v>270,0</v>
      </c>
      <c r="M15" s="10" t="str">
        <f>"149,5935"</f>
        <v>149,5935</v>
      </c>
      <c r="N15" s="9" t="s">
        <v>277</v>
      </c>
    </row>
    <row r="16" spans="1:14">
      <c r="B16" s="7" t="s">
        <v>113</v>
      </c>
    </row>
    <row r="17" spans="2:7" ht="16">
      <c r="B17" s="7" t="s">
        <v>113</v>
      </c>
      <c r="F17" s="17"/>
    </row>
    <row r="18" spans="2:7">
      <c r="B18" s="7" t="s">
        <v>113</v>
      </c>
    </row>
    <row r="19" spans="2:7" ht="18">
      <c r="B19" s="18" t="s">
        <v>97</v>
      </c>
      <c r="C19" s="18"/>
      <c r="G19" s="3"/>
    </row>
    <row r="20" spans="2:7" ht="16">
      <c r="B20" s="19" t="s">
        <v>104</v>
      </c>
      <c r="C20" s="19"/>
      <c r="G20" s="3"/>
    </row>
    <row r="21" spans="2:7" ht="14">
      <c r="B21" s="20"/>
      <c r="C21" s="21" t="s">
        <v>98</v>
      </c>
      <c r="G21" s="3"/>
    </row>
    <row r="22" spans="2:7" ht="14">
      <c r="B22" s="5" t="s">
        <v>99</v>
      </c>
      <c r="C22" s="5" t="s">
        <v>100</v>
      </c>
      <c r="D22" s="5" t="s">
        <v>366</v>
      </c>
      <c r="E22" s="5" t="s">
        <v>101</v>
      </c>
      <c r="F22" s="5" t="s">
        <v>279</v>
      </c>
      <c r="G22" s="3"/>
    </row>
    <row r="23" spans="2:7">
      <c r="B23" s="7" t="s">
        <v>272</v>
      </c>
      <c r="C23" s="7" t="s">
        <v>98</v>
      </c>
      <c r="D23" s="8" t="s">
        <v>106</v>
      </c>
      <c r="E23" s="8" t="s">
        <v>275</v>
      </c>
      <c r="F23" s="8" t="s">
        <v>280</v>
      </c>
      <c r="G23" s="3"/>
    </row>
    <row r="24" spans="2:7">
      <c r="B24" s="7" t="s">
        <v>86</v>
      </c>
      <c r="C24" s="7" t="s">
        <v>98</v>
      </c>
      <c r="D24" s="8" t="s">
        <v>110</v>
      </c>
      <c r="E24" s="8" t="s">
        <v>212</v>
      </c>
      <c r="F24" s="8" t="s">
        <v>281</v>
      </c>
      <c r="G24" s="3"/>
    </row>
    <row r="25" spans="2:7">
      <c r="B25" s="7" t="s">
        <v>140</v>
      </c>
      <c r="C25" s="7" t="s">
        <v>98</v>
      </c>
      <c r="D25" s="8" t="s">
        <v>105</v>
      </c>
      <c r="E25" s="8" t="s">
        <v>30</v>
      </c>
      <c r="F25" s="8" t="s">
        <v>282</v>
      </c>
      <c r="G25" s="3"/>
    </row>
    <row r="26" spans="2:7">
      <c r="B26" s="7" t="s">
        <v>113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B3:B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3.83203125" style="7" bestFit="1" customWidth="1"/>
    <col min="3" max="3" width="25.1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26.33203125" style="7" bestFit="1" customWidth="1"/>
    <col min="8" max="10" width="5.5" style="8" customWidth="1"/>
    <col min="11" max="11" width="4.5" style="8" customWidth="1"/>
    <col min="12" max="12" width="7.6640625" style="8" bestFit="1" customWidth="1"/>
    <col min="13" max="13" width="8.5" style="8" bestFit="1" customWidth="1"/>
    <col min="14" max="14" width="15.1640625" style="7" bestFit="1" customWidth="1"/>
    <col min="15" max="16384" width="9.1640625" style="3"/>
  </cols>
  <sheetData>
    <row r="1" spans="1:14" s="2" customFormat="1" ht="29" customHeight="1">
      <c r="A1" s="45" t="s">
        <v>334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296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297</v>
      </c>
      <c r="C6" s="9" t="s">
        <v>298</v>
      </c>
      <c r="D6" s="9" t="s">
        <v>299</v>
      </c>
      <c r="E6" s="9" t="str">
        <f>"0,5120"</f>
        <v>0,5120</v>
      </c>
      <c r="F6" s="9" t="s">
        <v>124</v>
      </c>
      <c r="G6" s="9" t="s">
        <v>367</v>
      </c>
      <c r="H6" s="22" t="s">
        <v>300</v>
      </c>
      <c r="I6" s="29" t="s">
        <v>301</v>
      </c>
      <c r="J6" s="29" t="s">
        <v>301</v>
      </c>
      <c r="K6" s="10"/>
      <c r="L6" s="10" t="str">
        <f>"370,0"</f>
        <v>370,0</v>
      </c>
      <c r="M6" s="10" t="str">
        <f>"189,4492"</f>
        <v>189,4492</v>
      </c>
      <c r="N6" s="9" t="s">
        <v>377</v>
      </c>
    </row>
    <row r="7" spans="1:14">
      <c r="B7" s="7" t="s">
        <v>113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6.832031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16.164062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15.83203125" style="7" bestFit="1" customWidth="1"/>
    <col min="15" max="16384" width="9.1640625" style="3"/>
  </cols>
  <sheetData>
    <row r="1" spans="1:14" s="2" customFormat="1" ht="29" customHeight="1">
      <c r="A1" s="45" t="s">
        <v>335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43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391</v>
      </c>
      <c r="C6" s="9" t="s">
        <v>286</v>
      </c>
      <c r="D6" s="9" t="s">
        <v>287</v>
      </c>
      <c r="E6" s="9" t="str">
        <f>"0,5819"</f>
        <v>0,5819</v>
      </c>
      <c r="F6" s="9"/>
      <c r="G6" s="9" t="s">
        <v>363</v>
      </c>
      <c r="H6" s="22" t="s">
        <v>195</v>
      </c>
      <c r="I6" s="22" t="s">
        <v>288</v>
      </c>
      <c r="J6" s="22" t="s">
        <v>289</v>
      </c>
      <c r="K6" s="10"/>
      <c r="L6" s="10" t="str">
        <f>"330,0"</f>
        <v>330,0</v>
      </c>
      <c r="M6" s="10" t="str">
        <f>"192,0352"</f>
        <v>192,0352</v>
      </c>
      <c r="N6" s="9"/>
    </row>
    <row r="7" spans="1:14">
      <c r="B7" s="7" t="s">
        <v>113</v>
      </c>
    </row>
    <row r="8" spans="1:14" ht="16">
      <c r="A8" s="35" t="s">
        <v>93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290</v>
      </c>
      <c r="C9" s="9" t="s">
        <v>354</v>
      </c>
      <c r="D9" s="9" t="s">
        <v>291</v>
      </c>
      <c r="E9" s="9" t="str">
        <f>"0,5364"</f>
        <v>0,5364</v>
      </c>
      <c r="F9" s="9" t="s">
        <v>292</v>
      </c>
      <c r="G9" s="9" t="s">
        <v>293</v>
      </c>
      <c r="H9" s="29" t="s">
        <v>294</v>
      </c>
      <c r="I9" s="22" t="s">
        <v>294</v>
      </c>
      <c r="J9" s="22" t="s">
        <v>295</v>
      </c>
      <c r="K9" s="10"/>
      <c r="L9" s="10" t="str">
        <f>"380,0"</f>
        <v>380,0</v>
      </c>
      <c r="M9" s="10" t="str">
        <f>"233,7779"</f>
        <v>233,7779</v>
      </c>
      <c r="N9" s="9"/>
    </row>
    <row r="10" spans="1:14">
      <c r="B10" s="7" t="s">
        <v>113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20.5" style="7" bestFit="1" customWidth="1"/>
    <col min="3" max="3" width="28.832031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25.6640625" style="7" customWidth="1"/>
    <col min="8" max="11" width="4.5" style="8" customWidth="1"/>
    <col min="12" max="12" width="10.5" style="8" bestFit="1" customWidth="1"/>
    <col min="13" max="13" width="7.5" style="8" bestFit="1" customWidth="1"/>
    <col min="14" max="14" width="18.83203125" style="7" customWidth="1"/>
    <col min="15" max="16384" width="9.1640625" style="3"/>
  </cols>
  <sheetData>
    <row r="1" spans="1:14" s="2" customFormat="1" ht="29" customHeight="1">
      <c r="A1" s="45" t="s">
        <v>333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268</v>
      </c>
      <c r="F3" s="39" t="s">
        <v>3</v>
      </c>
      <c r="G3" s="39" t="s">
        <v>6</v>
      </c>
      <c r="H3" s="39" t="s">
        <v>9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224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303</v>
      </c>
      <c r="C6" s="9" t="s">
        <v>355</v>
      </c>
      <c r="D6" s="9" t="s">
        <v>304</v>
      </c>
      <c r="E6" s="9" t="str">
        <f>"0,9266"</f>
        <v>0,9266</v>
      </c>
      <c r="F6" s="9"/>
      <c r="G6" s="9" t="s">
        <v>378</v>
      </c>
      <c r="H6" s="22" t="s">
        <v>305</v>
      </c>
      <c r="I6" s="22" t="s">
        <v>306</v>
      </c>
      <c r="J6" s="29" t="s">
        <v>307</v>
      </c>
      <c r="K6" s="10"/>
      <c r="L6" s="10" t="str">
        <f>"30,0"</f>
        <v>30,0</v>
      </c>
      <c r="M6" s="10" t="str">
        <f>"27,7995"</f>
        <v>27,7995</v>
      </c>
      <c r="N6" s="9"/>
    </row>
    <row r="7" spans="1:14">
      <c r="B7" s="7" t="s">
        <v>113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3"/>
  <sheetViews>
    <sheetView workbookViewId="0">
      <selection sqref="A1:N2"/>
    </sheetView>
  </sheetViews>
  <sheetFormatPr baseColWidth="10" defaultColWidth="9.1640625" defaultRowHeight="13"/>
  <cols>
    <col min="1" max="1" width="7.1640625" style="7" bestFit="1" customWidth="1"/>
    <col min="2" max="2" width="17.6640625" style="7" bestFit="1" customWidth="1"/>
    <col min="3" max="3" width="28.6640625" style="7" bestFit="1" customWidth="1"/>
    <col min="4" max="4" width="20.83203125" style="7" bestFit="1" customWidth="1"/>
    <col min="5" max="5" width="10.1640625" style="7" bestFit="1" customWidth="1"/>
    <col min="6" max="6" width="21.83203125" style="7" bestFit="1" customWidth="1"/>
    <col min="7" max="7" width="28.1640625" style="7" bestFit="1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" bestFit="1" customWidth="1"/>
    <col min="14" max="14" width="32.1640625" style="7" bestFit="1" customWidth="1"/>
    <col min="15" max="16384" width="9.1640625" style="3"/>
  </cols>
  <sheetData>
    <row r="1" spans="1:14" s="2" customFormat="1" ht="29" customHeight="1">
      <c r="A1" s="45" t="s">
        <v>339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53" t="s">
        <v>117</v>
      </c>
      <c r="B3" s="37" t="s">
        <v>0</v>
      </c>
      <c r="C3" s="55" t="s">
        <v>5</v>
      </c>
      <c r="D3" s="55" t="s">
        <v>7</v>
      </c>
      <c r="E3" s="39" t="s">
        <v>8</v>
      </c>
      <c r="F3" s="39" t="s">
        <v>3</v>
      </c>
      <c r="G3" s="39" t="s">
        <v>6</v>
      </c>
      <c r="H3" s="39" t="s">
        <v>184</v>
      </c>
      <c r="I3" s="39"/>
      <c r="J3" s="39"/>
      <c r="K3" s="39"/>
      <c r="L3" s="39" t="s">
        <v>111</v>
      </c>
      <c r="M3" s="39" t="s">
        <v>2</v>
      </c>
      <c r="N3" s="41" t="s">
        <v>1</v>
      </c>
    </row>
    <row r="4" spans="1:14" s="1" customFormat="1" ht="21" customHeight="1" thickBot="1">
      <c r="A4" s="54"/>
      <c r="B4" s="38"/>
      <c r="C4" s="40"/>
      <c r="D4" s="40"/>
      <c r="E4" s="40"/>
      <c r="F4" s="40"/>
      <c r="G4" s="40"/>
      <c r="H4" s="4">
        <v>1</v>
      </c>
      <c r="I4" s="4">
        <v>2</v>
      </c>
      <c r="J4" s="4">
        <v>3</v>
      </c>
      <c r="K4" s="4" t="s">
        <v>4</v>
      </c>
      <c r="L4" s="40"/>
      <c r="M4" s="40"/>
      <c r="N4" s="42"/>
    </row>
    <row r="5" spans="1:14" ht="16">
      <c r="A5" s="43" t="s">
        <v>218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4">
      <c r="A6" s="10" t="s">
        <v>112</v>
      </c>
      <c r="B6" s="9" t="s">
        <v>219</v>
      </c>
      <c r="C6" s="9" t="s">
        <v>220</v>
      </c>
      <c r="D6" s="9" t="s">
        <v>221</v>
      </c>
      <c r="E6" s="9" t="str">
        <f>"1,3449"</f>
        <v>1,3449</v>
      </c>
      <c r="F6" s="9"/>
      <c r="G6" s="9" t="s">
        <v>222</v>
      </c>
      <c r="H6" s="22" t="s">
        <v>125</v>
      </c>
      <c r="I6" s="29" t="s">
        <v>223</v>
      </c>
      <c r="J6" s="29" t="s">
        <v>223</v>
      </c>
      <c r="K6" s="10"/>
      <c r="L6" s="10" t="str">
        <f>"97,5"</f>
        <v>97,5</v>
      </c>
      <c r="M6" s="10" t="str">
        <f>"131,1278"</f>
        <v>131,1278</v>
      </c>
      <c r="N6" s="9" t="s">
        <v>381</v>
      </c>
    </row>
    <row r="7" spans="1:14">
      <c r="B7" s="7" t="s">
        <v>113</v>
      </c>
    </row>
    <row r="8" spans="1:14" ht="16">
      <c r="A8" s="35" t="s">
        <v>224</v>
      </c>
      <c r="B8" s="35"/>
      <c r="C8" s="36"/>
      <c r="D8" s="36"/>
      <c r="E8" s="36"/>
      <c r="F8" s="36"/>
      <c r="G8" s="36"/>
      <c r="H8" s="36"/>
      <c r="I8" s="36"/>
      <c r="J8" s="36"/>
      <c r="K8" s="36"/>
    </row>
    <row r="9" spans="1:14">
      <c r="A9" s="10" t="s">
        <v>112</v>
      </c>
      <c r="B9" s="9" t="s">
        <v>225</v>
      </c>
      <c r="C9" s="9" t="s">
        <v>226</v>
      </c>
      <c r="D9" s="9" t="s">
        <v>227</v>
      </c>
      <c r="E9" s="9" t="str">
        <f>"1,0515"</f>
        <v>1,0515</v>
      </c>
      <c r="F9" s="9" t="s">
        <v>124</v>
      </c>
      <c r="G9" s="9" t="s">
        <v>367</v>
      </c>
      <c r="H9" s="22" t="s">
        <v>223</v>
      </c>
      <c r="I9" s="29" t="s">
        <v>151</v>
      </c>
      <c r="J9" s="22" t="s">
        <v>151</v>
      </c>
      <c r="K9" s="10"/>
      <c r="L9" s="10" t="str">
        <f>"120,0"</f>
        <v>120,0</v>
      </c>
      <c r="M9" s="10" t="str">
        <f>"126,1800"</f>
        <v>126,1800</v>
      </c>
      <c r="N9" s="9" t="s">
        <v>369</v>
      </c>
    </row>
    <row r="10" spans="1:14">
      <c r="B10" s="7" t="s">
        <v>113</v>
      </c>
    </row>
    <row r="11" spans="1:14" ht="16">
      <c r="A11" s="35" t="s">
        <v>189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4">
      <c r="A12" s="12" t="s">
        <v>112</v>
      </c>
      <c r="B12" s="11" t="s">
        <v>228</v>
      </c>
      <c r="C12" s="11" t="s">
        <v>229</v>
      </c>
      <c r="D12" s="11" t="s">
        <v>230</v>
      </c>
      <c r="E12" s="11" t="str">
        <f>"0,9881"</f>
        <v>0,9881</v>
      </c>
      <c r="F12" s="11" t="s">
        <v>379</v>
      </c>
      <c r="G12" s="11" t="s">
        <v>362</v>
      </c>
      <c r="H12" s="23" t="s">
        <v>231</v>
      </c>
      <c r="I12" s="23" t="s">
        <v>54</v>
      </c>
      <c r="J12" s="23" t="s">
        <v>55</v>
      </c>
      <c r="K12" s="12"/>
      <c r="L12" s="12" t="str">
        <f>"170,0"</f>
        <v>170,0</v>
      </c>
      <c r="M12" s="12" t="str">
        <f>"167,9770"</f>
        <v>167,9770</v>
      </c>
      <c r="N12" s="11" t="s">
        <v>375</v>
      </c>
    </row>
    <row r="13" spans="1:14">
      <c r="A13" s="16" t="s">
        <v>114</v>
      </c>
      <c r="B13" s="15" t="s">
        <v>232</v>
      </c>
      <c r="C13" s="15" t="s">
        <v>233</v>
      </c>
      <c r="D13" s="15" t="s">
        <v>234</v>
      </c>
      <c r="E13" s="15" t="str">
        <f>"0,9506"</f>
        <v>0,9506</v>
      </c>
      <c r="F13" s="15"/>
      <c r="G13" s="15" t="s">
        <v>362</v>
      </c>
      <c r="H13" s="26" t="s">
        <v>235</v>
      </c>
      <c r="I13" s="26" t="s">
        <v>236</v>
      </c>
      <c r="J13" s="28" t="s">
        <v>157</v>
      </c>
      <c r="K13" s="16"/>
      <c r="L13" s="16" t="str">
        <f>"122,5"</f>
        <v>122,5</v>
      </c>
      <c r="M13" s="16" t="str">
        <f>"116,4485"</f>
        <v>116,4485</v>
      </c>
      <c r="N13" s="15" t="s">
        <v>382</v>
      </c>
    </row>
    <row r="14" spans="1:14">
      <c r="B14" s="7" t="s">
        <v>113</v>
      </c>
    </row>
    <row r="15" spans="1:14" ht="16">
      <c r="A15" s="35" t="s">
        <v>237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</row>
    <row r="16" spans="1:14">
      <c r="A16" s="10" t="s">
        <v>112</v>
      </c>
      <c r="B16" s="9" t="s">
        <v>238</v>
      </c>
      <c r="C16" s="9" t="s">
        <v>239</v>
      </c>
      <c r="D16" s="9" t="s">
        <v>240</v>
      </c>
      <c r="E16" s="9" t="str">
        <f>"1,3057"</f>
        <v>1,3057</v>
      </c>
      <c r="F16" s="9"/>
      <c r="G16" s="9" t="s">
        <v>380</v>
      </c>
      <c r="H16" s="22" t="s">
        <v>241</v>
      </c>
      <c r="I16" s="22" t="s">
        <v>242</v>
      </c>
      <c r="J16" s="22" t="s">
        <v>243</v>
      </c>
      <c r="K16" s="10"/>
      <c r="L16" s="10" t="str">
        <f>"70,0"</f>
        <v>70,0</v>
      </c>
      <c r="M16" s="10" t="str">
        <f>"91,3990"</f>
        <v>91,3990</v>
      </c>
      <c r="N16" s="9" t="s">
        <v>383</v>
      </c>
    </row>
    <row r="17" spans="1:14">
      <c r="B17" s="7" t="s">
        <v>113</v>
      </c>
    </row>
    <row r="18" spans="1:14" ht="16">
      <c r="A18" s="35" t="s">
        <v>189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</row>
    <row r="19" spans="1:14">
      <c r="A19" s="10" t="s">
        <v>112</v>
      </c>
      <c r="B19" s="9" t="s">
        <v>244</v>
      </c>
      <c r="C19" s="9" t="s">
        <v>245</v>
      </c>
      <c r="D19" s="9" t="s">
        <v>246</v>
      </c>
      <c r="E19" s="9" t="str">
        <f>"0,7139"</f>
        <v>0,7139</v>
      </c>
      <c r="F19" s="9"/>
      <c r="G19" s="9" t="s">
        <v>247</v>
      </c>
      <c r="H19" s="22" t="s">
        <v>248</v>
      </c>
      <c r="I19" s="22" t="s">
        <v>30</v>
      </c>
      <c r="J19" s="29" t="s">
        <v>76</v>
      </c>
      <c r="K19" s="10"/>
      <c r="L19" s="10" t="str">
        <f>"225,0"</f>
        <v>225,0</v>
      </c>
      <c r="M19" s="10" t="str">
        <f>"160,6275"</f>
        <v>160,6275</v>
      </c>
      <c r="N19" s="9"/>
    </row>
    <row r="20" spans="1:14">
      <c r="B20" s="7" t="s">
        <v>113</v>
      </c>
    </row>
    <row r="21" spans="1:14" ht="16">
      <c r="A21" s="35" t="s">
        <v>10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</row>
    <row r="22" spans="1:14">
      <c r="A22" s="10" t="s">
        <v>112</v>
      </c>
      <c r="B22" s="9" t="s">
        <v>249</v>
      </c>
      <c r="C22" s="9" t="s">
        <v>250</v>
      </c>
      <c r="D22" s="9" t="s">
        <v>251</v>
      </c>
      <c r="E22" s="9" t="str">
        <f>"0,6888"</f>
        <v>0,6888</v>
      </c>
      <c r="F22" s="9"/>
      <c r="G22" s="9" t="s">
        <v>252</v>
      </c>
      <c r="H22" s="22" t="s">
        <v>31</v>
      </c>
      <c r="I22" s="22" t="s">
        <v>70</v>
      </c>
      <c r="J22" s="10"/>
      <c r="K22" s="10"/>
      <c r="L22" s="10" t="str">
        <f>"255,0"</f>
        <v>255,0</v>
      </c>
      <c r="M22" s="10" t="str">
        <f>"175,6440"</f>
        <v>175,6440</v>
      </c>
      <c r="N22" s="9"/>
    </row>
    <row r="23" spans="1:14">
      <c r="B23" s="7" t="s">
        <v>113</v>
      </c>
    </row>
    <row r="24" spans="1:14" ht="16">
      <c r="A24" s="35" t="s">
        <v>43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</row>
    <row r="25" spans="1:14">
      <c r="A25" s="12" t="s">
        <v>112</v>
      </c>
      <c r="B25" s="11" t="s">
        <v>253</v>
      </c>
      <c r="C25" s="11" t="s">
        <v>254</v>
      </c>
      <c r="D25" s="11" t="s">
        <v>255</v>
      </c>
      <c r="E25" s="11" t="str">
        <f>"0,6147"</f>
        <v>0,6147</v>
      </c>
      <c r="F25" s="11"/>
      <c r="G25" s="11" t="s">
        <v>362</v>
      </c>
      <c r="H25" s="23" t="s">
        <v>55</v>
      </c>
      <c r="I25" s="23" t="s">
        <v>36</v>
      </c>
      <c r="J25" s="23" t="s">
        <v>89</v>
      </c>
      <c r="K25" s="12"/>
      <c r="L25" s="12" t="str">
        <f>"190,0"</f>
        <v>190,0</v>
      </c>
      <c r="M25" s="12" t="str">
        <f>"116,7930"</f>
        <v>116,7930</v>
      </c>
      <c r="N25" s="11" t="s">
        <v>384</v>
      </c>
    </row>
    <row r="26" spans="1:14">
      <c r="A26" s="14" t="s">
        <v>112</v>
      </c>
      <c r="B26" s="13" t="s">
        <v>256</v>
      </c>
      <c r="C26" s="13" t="s">
        <v>257</v>
      </c>
      <c r="D26" s="13" t="s">
        <v>258</v>
      </c>
      <c r="E26" s="13" t="str">
        <f>"0,6150"</f>
        <v>0,6150</v>
      </c>
      <c r="F26" s="13" t="s">
        <v>124</v>
      </c>
      <c r="G26" s="13" t="s">
        <v>367</v>
      </c>
      <c r="H26" s="24" t="s">
        <v>31</v>
      </c>
      <c r="I26" s="24" t="s">
        <v>259</v>
      </c>
      <c r="J26" s="24" t="s">
        <v>31</v>
      </c>
      <c r="K26" s="14"/>
      <c r="L26" s="14" t="str">
        <f>"240,0"</f>
        <v>240,0</v>
      </c>
      <c r="M26" s="14" t="str">
        <f>"147,6000"</f>
        <v>147,6000</v>
      </c>
      <c r="N26" s="13" t="s">
        <v>385</v>
      </c>
    </row>
    <row r="27" spans="1:14">
      <c r="A27" s="14" t="s">
        <v>114</v>
      </c>
      <c r="B27" s="13" t="s">
        <v>260</v>
      </c>
      <c r="C27" s="13" t="s">
        <v>261</v>
      </c>
      <c r="D27" s="13" t="s">
        <v>262</v>
      </c>
      <c r="E27" s="13" t="str">
        <f>"0,6108"</f>
        <v>0,6108</v>
      </c>
      <c r="F27" s="13" t="s">
        <v>124</v>
      </c>
      <c r="G27" s="13" t="s">
        <v>367</v>
      </c>
      <c r="H27" s="24" t="s">
        <v>248</v>
      </c>
      <c r="I27" s="24" t="s">
        <v>263</v>
      </c>
      <c r="J27" s="25" t="s">
        <v>200</v>
      </c>
      <c r="K27" s="14"/>
      <c r="L27" s="14" t="str">
        <f>"217,5"</f>
        <v>217,5</v>
      </c>
      <c r="M27" s="14" t="str">
        <f>"132,8490"</f>
        <v>132,8490</v>
      </c>
      <c r="N27" s="13" t="s">
        <v>369</v>
      </c>
    </row>
    <row r="28" spans="1:14">
      <c r="A28" s="14" t="s">
        <v>112</v>
      </c>
      <c r="B28" s="13" t="s">
        <v>256</v>
      </c>
      <c r="C28" s="13" t="s">
        <v>356</v>
      </c>
      <c r="D28" s="13" t="s">
        <v>258</v>
      </c>
      <c r="E28" s="13" t="str">
        <f>"0,6150"</f>
        <v>0,6150</v>
      </c>
      <c r="F28" s="13" t="s">
        <v>124</v>
      </c>
      <c r="G28" s="13" t="s">
        <v>367</v>
      </c>
      <c r="H28" s="24" t="s">
        <v>31</v>
      </c>
      <c r="I28" s="14"/>
      <c r="J28" s="14"/>
      <c r="K28" s="14"/>
      <c r="L28" s="14" t="str">
        <f>"240,0"</f>
        <v>240,0</v>
      </c>
      <c r="M28" s="14" t="str">
        <f>"161,7696"</f>
        <v>161,7696</v>
      </c>
      <c r="N28" s="13" t="s">
        <v>385</v>
      </c>
    </row>
    <row r="29" spans="1:14">
      <c r="A29" s="16" t="s">
        <v>112</v>
      </c>
      <c r="B29" s="15" t="s">
        <v>201</v>
      </c>
      <c r="C29" s="15" t="s">
        <v>357</v>
      </c>
      <c r="D29" s="15" t="s">
        <v>202</v>
      </c>
      <c r="E29" s="15" t="str">
        <f>"0,6269"</f>
        <v>0,6269</v>
      </c>
      <c r="F29" s="15" t="s">
        <v>364</v>
      </c>
      <c r="G29" s="15" t="s">
        <v>362</v>
      </c>
      <c r="H29" s="26" t="s">
        <v>76</v>
      </c>
      <c r="I29" s="28" t="s">
        <v>31</v>
      </c>
      <c r="J29" s="28" t="s">
        <v>31</v>
      </c>
      <c r="K29" s="16"/>
      <c r="L29" s="16" t="str">
        <f>"230,0"</f>
        <v>230,0</v>
      </c>
      <c r="M29" s="16" t="str">
        <f>"174,0337"</f>
        <v>174,0337</v>
      </c>
      <c r="N29" s="15" t="s">
        <v>371</v>
      </c>
    </row>
    <row r="30" spans="1:14">
      <c r="B30" s="7" t="s">
        <v>113</v>
      </c>
    </row>
    <row r="31" spans="1:14" ht="16">
      <c r="A31" s="35" t="s">
        <v>65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4">
      <c r="A32" s="10" t="s">
        <v>112</v>
      </c>
      <c r="B32" s="9" t="s">
        <v>264</v>
      </c>
      <c r="C32" s="9" t="s">
        <v>344</v>
      </c>
      <c r="D32" s="9" t="s">
        <v>265</v>
      </c>
      <c r="E32" s="9" t="str">
        <f>"0,5988"</f>
        <v>0,5988</v>
      </c>
      <c r="F32" s="9"/>
      <c r="G32" s="9" t="s">
        <v>363</v>
      </c>
      <c r="H32" s="22" t="s">
        <v>248</v>
      </c>
      <c r="I32" s="22" t="s">
        <v>200</v>
      </c>
      <c r="J32" s="22" t="s">
        <v>76</v>
      </c>
      <c r="K32" s="10"/>
      <c r="L32" s="10" t="str">
        <f>"230,0"</f>
        <v>230,0</v>
      </c>
      <c r="M32" s="10" t="str">
        <f>"137,7240"</f>
        <v>137,7240</v>
      </c>
      <c r="N32" s="9"/>
    </row>
    <row r="33" spans="2:2">
      <c r="B33" s="7" t="s">
        <v>113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1:K31"/>
    <mergeCell ref="B3:B4"/>
    <mergeCell ref="A8:K8"/>
    <mergeCell ref="A11:K11"/>
    <mergeCell ref="A15:K15"/>
    <mergeCell ref="A18:K18"/>
    <mergeCell ref="A21:K21"/>
    <mergeCell ref="A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Жим без экипировки ДК</vt:lpstr>
      <vt:lpstr>IPL Жим без экипировки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IPL Тяга однослой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2020-09-04T10:38:02Z</dcterms:modified>
</cp:coreProperties>
</file>