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ль/"/>
    </mc:Choice>
  </mc:AlternateContent>
  <xr:revisionPtr revIDLastSave="0" documentId="13_ncr:1_{307C238F-A50D-0244-ACD5-42BF7963ED2B}" xr6:coauthVersionLast="45" xr6:coauthVersionMax="47" xr10:uidLastSave="{00000000-0000-0000-0000-000000000000}"/>
  <bookViews>
    <workbookView xWindow="0" yWindow="460" windowWidth="28620" windowHeight="15740" tabRatio="794" firstSheet="10" activeTab="15" xr2:uid="{00000000-000D-0000-FFFF-FFFF00000000}"/>
  </bookViews>
  <sheets>
    <sheet name="IPL ПЛ без экипировки ДК" sheetId="8" r:id="rId1"/>
    <sheet name="IPL ПЛ без экипировки" sheetId="7" r:id="rId2"/>
    <sheet name="IPL ПЛ в бинтах ДК" sheetId="10" r:id="rId3"/>
    <sheet name="IPL ПЛ в бинтах" sheetId="9" r:id="rId4"/>
    <sheet name="IPL Двоеборье без экип ДК" sheetId="23" r:id="rId5"/>
    <sheet name="IPL Двоеборье без экип" sheetId="22" r:id="rId6"/>
    <sheet name="IPL Двоеборье экип" sheetId="24" r:id="rId7"/>
    <sheet name="IPL Жим без экипировки ДК" sheetId="12" r:id="rId8"/>
    <sheet name="IPL Жим без экипировки" sheetId="11" r:id="rId9"/>
    <sheet name="IPL Жим однослой ДК" sheetId="14" r:id="rId10"/>
    <sheet name="IPL Жим однослой" sheetId="13" r:id="rId11"/>
    <sheet name="СПР Жим софт однопетельная ДК" sheetId="29" r:id="rId12"/>
    <sheet name="IPL Тяга без экипировки ДК" sheetId="16" r:id="rId13"/>
    <sheet name="IPL Тяга без экипировки" sheetId="15" r:id="rId14"/>
    <sheet name="IPL Тяга однослой" sheetId="17" r:id="rId15"/>
    <sheet name="СПР Подъем на бицепс ДК" sheetId="30" r:id="rId1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30" l="1"/>
  <c r="L26" i="30"/>
  <c r="M23" i="30"/>
  <c r="L23" i="30"/>
  <c r="M20" i="30"/>
  <c r="L20" i="30"/>
  <c r="M17" i="30"/>
  <c r="L17" i="30"/>
  <c r="M16" i="30"/>
  <c r="L16" i="30"/>
  <c r="M15" i="30"/>
  <c r="L15" i="30"/>
  <c r="M12" i="30"/>
  <c r="L12" i="30"/>
  <c r="M9" i="30"/>
  <c r="L9" i="30"/>
  <c r="M6" i="30"/>
  <c r="L6" i="30"/>
  <c r="M10" i="29"/>
  <c r="L10" i="29"/>
  <c r="M7" i="29"/>
  <c r="L7" i="29"/>
  <c r="M6" i="29"/>
  <c r="L6" i="29"/>
  <c r="Q6" i="24"/>
  <c r="P6" i="24"/>
  <c r="Q16" i="23"/>
  <c r="P16" i="23"/>
  <c r="Q13" i="23"/>
  <c r="P13" i="23"/>
  <c r="Q10" i="23"/>
  <c r="P10" i="23"/>
  <c r="Q9" i="23"/>
  <c r="P9" i="23"/>
  <c r="Q6" i="23"/>
  <c r="P6" i="23"/>
  <c r="Q9" i="22"/>
  <c r="P9" i="22"/>
  <c r="Q6" i="22"/>
  <c r="P6" i="22"/>
  <c r="M6" i="17"/>
  <c r="L6" i="17"/>
  <c r="M32" i="16"/>
  <c r="L32" i="16"/>
  <c r="M29" i="16"/>
  <c r="L29" i="16"/>
  <c r="M28" i="16"/>
  <c r="L28" i="16"/>
  <c r="M25" i="16"/>
  <c r="L25" i="16"/>
  <c r="M24" i="16"/>
  <c r="L24" i="16"/>
  <c r="M21" i="16"/>
  <c r="L21" i="16"/>
  <c r="M18" i="16"/>
  <c r="L18" i="16"/>
  <c r="M15" i="16"/>
  <c r="L15" i="16"/>
  <c r="M14" i="16"/>
  <c r="L14" i="16"/>
  <c r="M11" i="16"/>
  <c r="L11" i="16"/>
  <c r="M10" i="16"/>
  <c r="L10" i="16"/>
  <c r="M9" i="16"/>
  <c r="L9" i="16"/>
  <c r="M6" i="16"/>
  <c r="L6" i="16"/>
  <c r="M26" i="15"/>
  <c r="L26" i="15"/>
  <c r="M23" i="15"/>
  <c r="L23" i="15"/>
  <c r="M20" i="15"/>
  <c r="L20" i="15"/>
  <c r="M19" i="15"/>
  <c r="L19" i="15"/>
  <c r="M16" i="15"/>
  <c r="L16" i="15"/>
  <c r="M13" i="15"/>
  <c r="L13" i="15"/>
  <c r="M10" i="15"/>
  <c r="L10" i="15"/>
  <c r="M7" i="15"/>
  <c r="L7" i="15"/>
  <c r="M6" i="15"/>
  <c r="L6" i="15"/>
  <c r="M6" i="14"/>
  <c r="L6" i="14"/>
  <c r="M6" i="13"/>
  <c r="L6" i="13"/>
  <c r="M41" i="12"/>
  <c r="L41" i="12"/>
  <c r="M40" i="12"/>
  <c r="L40" i="12"/>
  <c r="M39" i="12"/>
  <c r="L39" i="12"/>
  <c r="M36" i="12"/>
  <c r="L36" i="12"/>
  <c r="M35" i="12"/>
  <c r="L35" i="12"/>
  <c r="M32" i="12"/>
  <c r="L32" i="12"/>
  <c r="M31" i="12"/>
  <c r="L31" i="12"/>
  <c r="M30" i="12"/>
  <c r="L30" i="12"/>
  <c r="M29" i="12"/>
  <c r="L29" i="12"/>
  <c r="M26" i="12"/>
  <c r="L26" i="12"/>
  <c r="M25" i="12"/>
  <c r="L25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4" i="12"/>
  <c r="L14" i="12"/>
  <c r="M11" i="12"/>
  <c r="L11" i="12"/>
  <c r="M10" i="12"/>
  <c r="L10" i="12"/>
  <c r="M9" i="12"/>
  <c r="L9" i="12"/>
  <c r="M6" i="12"/>
  <c r="L6" i="12"/>
  <c r="M22" i="11"/>
  <c r="L22" i="11"/>
  <c r="M19" i="11"/>
  <c r="L19" i="11"/>
  <c r="M18" i="11"/>
  <c r="L18" i="11"/>
  <c r="M15" i="11"/>
  <c r="L15" i="11"/>
  <c r="M12" i="11"/>
  <c r="L12" i="11"/>
  <c r="M9" i="11"/>
  <c r="L9" i="11"/>
  <c r="M6" i="11"/>
  <c r="L6" i="11"/>
  <c r="U6" i="10"/>
  <c r="T6" i="10"/>
  <c r="U12" i="9"/>
  <c r="T12" i="9"/>
  <c r="U9" i="9"/>
  <c r="T9" i="9"/>
  <c r="U6" i="9"/>
  <c r="T6" i="9"/>
  <c r="U18" i="8"/>
  <c r="T18" i="8"/>
  <c r="U15" i="8"/>
  <c r="T15" i="8"/>
  <c r="U14" i="8"/>
  <c r="T14" i="8"/>
  <c r="U11" i="8"/>
  <c r="T11" i="8"/>
  <c r="U8" i="8"/>
  <c r="T8" i="8"/>
  <c r="U7" i="8"/>
  <c r="T7" i="8"/>
  <c r="U6" i="8"/>
  <c r="T6" i="8"/>
  <c r="U16" i="7"/>
  <c r="T16" i="7"/>
  <c r="U15" i="7"/>
  <c r="T15" i="7"/>
  <c r="U12" i="7"/>
  <c r="T12" i="7"/>
  <c r="U9" i="7"/>
  <c r="T9" i="7"/>
  <c r="U6" i="7"/>
  <c r="T6" i="7"/>
</calcChain>
</file>

<file path=xl/sharedStrings.xml><?xml version="1.0" encoding="utf-8"?>
<sst xmlns="http://schemas.openxmlformats.org/spreadsheetml/2006/main" count="1456" uniqueCount="429">
  <si>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</si>
  <si>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</si>
  <si>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</si>
  <si>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</si>
  <si>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</si>
  <si>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</si>
  <si>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</si>
  <si>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</si>
  <si>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</si>
  <si>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</si>
  <si>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</si>
  <si>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</si>
  <si>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75</t>
  </si>
  <si>
    <t>Шекурова Юлия</t>
  </si>
  <si>
    <t>Открытая (17.09.1998)/22</t>
  </si>
  <si>
    <t>68,90</t>
  </si>
  <si>
    <t xml:space="preserve">Нижний Новгород/Нижегородская </t>
  </si>
  <si>
    <t>60,0</t>
  </si>
  <si>
    <t>70,0</t>
  </si>
  <si>
    <t>45,0</t>
  </si>
  <si>
    <t>52,5</t>
  </si>
  <si>
    <t>55,0</t>
  </si>
  <si>
    <t>80,0</t>
  </si>
  <si>
    <t>90,0</t>
  </si>
  <si>
    <t>100,0</t>
  </si>
  <si>
    <t>ВЕСОВАЯ КАТЕГОРИЯ   90</t>
  </si>
  <si>
    <t>Борисов Александр</t>
  </si>
  <si>
    <t>Открытая (03.06.1997)/24</t>
  </si>
  <si>
    <t>88,70</t>
  </si>
  <si>
    <t xml:space="preserve">Арзамас/Нижегородская область </t>
  </si>
  <si>
    <t>225,0</t>
  </si>
  <si>
    <t>230,0</t>
  </si>
  <si>
    <t>235,0</t>
  </si>
  <si>
    <t>165,0</t>
  </si>
  <si>
    <t>170,0</t>
  </si>
  <si>
    <t>250,0</t>
  </si>
  <si>
    <t>255,0</t>
  </si>
  <si>
    <t>ВЕСОВАЯ КАТЕГОРИЯ   100</t>
  </si>
  <si>
    <t>Абрамов Алексей</t>
  </si>
  <si>
    <t>96,80</t>
  </si>
  <si>
    <t>160,0</t>
  </si>
  <si>
    <t>180,0</t>
  </si>
  <si>
    <t>190,0</t>
  </si>
  <si>
    <t>120,0</t>
  </si>
  <si>
    <t>130,0</t>
  </si>
  <si>
    <t>135,0</t>
  </si>
  <si>
    <t>200,0</t>
  </si>
  <si>
    <t>215,0</t>
  </si>
  <si>
    <t>ВЕСОВАЯ КАТЕГОРИЯ   110</t>
  </si>
  <si>
    <t>Салахетдинов Эльдар</t>
  </si>
  <si>
    <t>Открытая (22.08.1998)/22</t>
  </si>
  <si>
    <t>108,10</t>
  </si>
  <si>
    <t xml:space="preserve">Дуст 52 </t>
  </si>
  <si>
    <t>262,5</t>
  </si>
  <si>
    <t>267,5</t>
  </si>
  <si>
    <t>192,5</t>
  </si>
  <si>
    <t>310,0</t>
  </si>
  <si>
    <t>325,0</t>
  </si>
  <si>
    <t>330,0</t>
  </si>
  <si>
    <t>Воронин Александр</t>
  </si>
  <si>
    <t>Открытая (26.03.1995)/26</t>
  </si>
  <si>
    <t>107,10</t>
  </si>
  <si>
    <t>210,0</t>
  </si>
  <si>
    <t>220,0</t>
  </si>
  <si>
    <t>145,0</t>
  </si>
  <si>
    <t>152,5</t>
  </si>
  <si>
    <t>157,5</t>
  </si>
  <si>
    <t>240,0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</si>
  <si>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</si>
  <si>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</si>
  <si>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</si>
  <si>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</si>
  <si>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</si>
  <si>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75</t>
  </si>
  <si>
    <t xml:space="preserve">Мужчины </t>
  </si>
  <si>
    <t>90</t>
  </si>
  <si>
    <t>100</t>
  </si>
  <si>
    <t>1</t>
  </si>
  <si>
    <t>2</t>
  </si>
  <si>
    <t>ВЕСОВАЯ КАТЕГОРИЯ   52</t>
  </si>
  <si>
    <t>Петрушкина Виктория</t>
  </si>
  <si>
    <t>Девушки 15-19 (26.04.2006)/15</t>
  </si>
  <si>
    <t>50,90</t>
  </si>
  <si>
    <t xml:space="preserve">Ковров/Владимирская область </t>
  </si>
  <si>
    <t>65,0</t>
  </si>
  <si>
    <t>75,0</t>
  </si>
  <si>
    <t>47,5</t>
  </si>
  <si>
    <t>50,0</t>
  </si>
  <si>
    <t>82,5</t>
  </si>
  <si>
    <t>87,5</t>
  </si>
  <si>
    <t>Гуляева Ангелина</t>
  </si>
  <si>
    <t>Девушки 15-19 (12.12.2004)/16</t>
  </si>
  <si>
    <t>51,60</t>
  </si>
  <si>
    <t>72,5</t>
  </si>
  <si>
    <t>30,0</t>
  </si>
  <si>
    <t>35,0</t>
  </si>
  <si>
    <t>40,0</t>
  </si>
  <si>
    <t>77,5</t>
  </si>
  <si>
    <t>Медникова Мария</t>
  </si>
  <si>
    <t>Открытая (13.04.1992)/29</t>
  </si>
  <si>
    <t>51,00</t>
  </si>
  <si>
    <t>85,0</t>
  </si>
  <si>
    <t>Соколов Данила</t>
  </si>
  <si>
    <t>Юноши 15-19 (08.03.2007)/14</t>
  </si>
  <si>
    <t>71,20</t>
  </si>
  <si>
    <t>140,0</t>
  </si>
  <si>
    <t>147,5</t>
  </si>
  <si>
    <t>Строкин Дмитрий</t>
  </si>
  <si>
    <t>Открытая (30.05.1991)/30</t>
  </si>
  <si>
    <t>88,50</t>
  </si>
  <si>
    <t>132,5</t>
  </si>
  <si>
    <t>Зубарев Игорь</t>
  </si>
  <si>
    <t>86,30</t>
  </si>
  <si>
    <t>125,0</t>
  </si>
  <si>
    <t>142,5</t>
  </si>
  <si>
    <t>95,0</t>
  </si>
  <si>
    <t>150,0</t>
  </si>
  <si>
    <t>155,0</t>
  </si>
  <si>
    <t>Барва Сергей</t>
  </si>
  <si>
    <t>102,50</t>
  </si>
  <si>
    <t>110,0</t>
  </si>
  <si>
    <t>115,0</t>
  </si>
  <si>
    <t>52</t>
  </si>
  <si>
    <t>207,5</t>
  </si>
  <si>
    <t>195,0</t>
  </si>
  <si>
    <t>ВЕСОВАЯ КАТЕГОРИЯ   82.5</t>
  </si>
  <si>
    <t>Машуров Георгий</t>
  </si>
  <si>
    <t>Открытая (05.11.1982)/38</t>
  </si>
  <si>
    <t>80,80</t>
  </si>
  <si>
    <t xml:space="preserve">Оренбург/Оренбургская область </t>
  </si>
  <si>
    <t>185,0</t>
  </si>
  <si>
    <t>Соловьев Михаил</t>
  </si>
  <si>
    <t>106,80</t>
  </si>
  <si>
    <t xml:space="preserve">Чкаловск </t>
  </si>
  <si>
    <t xml:space="preserve">Чкаловск/Нижегородская область </t>
  </si>
  <si>
    <t>260,0</t>
  </si>
  <si>
    <t>265,0</t>
  </si>
  <si>
    <t>270,0</t>
  </si>
  <si>
    <t>ВЕСОВАЯ КАТЕГОРИЯ   125</t>
  </si>
  <si>
    <t>Бугров Евгений</t>
  </si>
  <si>
    <t>123,50</t>
  </si>
  <si>
    <t xml:space="preserve">Городец/Нижегородская область </t>
  </si>
  <si>
    <t>175,0</t>
  </si>
  <si>
    <t>Ахматов Илья</t>
  </si>
  <si>
    <t>Юноши 15-19 (27.06.2004)/17</t>
  </si>
  <si>
    <t>72,90</t>
  </si>
  <si>
    <t>Тюкина Мария</t>
  </si>
  <si>
    <t>Открытая (29.05.1989)/32</t>
  </si>
  <si>
    <t>71,00</t>
  </si>
  <si>
    <t>ВЕСОВАЯ КАТЕГОРИЯ   67.5</t>
  </si>
  <si>
    <t>Жуков Виталий</t>
  </si>
  <si>
    <t>Юноши 15-19 (21.03.2006)/15</t>
  </si>
  <si>
    <t>66,00</t>
  </si>
  <si>
    <t>Лимаренко Артём</t>
  </si>
  <si>
    <t>Открытая (20.06.1982)/39</t>
  </si>
  <si>
    <t>74,50</t>
  </si>
  <si>
    <t>Жулин Дмитрий</t>
  </si>
  <si>
    <t>Открытая (13.06.1985)/36</t>
  </si>
  <si>
    <t>81,40</t>
  </si>
  <si>
    <t>Лапшин Александр</t>
  </si>
  <si>
    <t>Открытая (14.07.1976)/45</t>
  </si>
  <si>
    <t>98,10</t>
  </si>
  <si>
    <t>ВЕСОВАЯ КАТЕГОРИЯ   140</t>
  </si>
  <si>
    <t>Сидоров Александр</t>
  </si>
  <si>
    <t>Открытая (20.07.1980)/40</t>
  </si>
  <si>
    <t>131,00</t>
  </si>
  <si>
    <t xml:space="preserve">Первомайск/Нижегородская область </t>
  </si>
  <si>
    <t>245,0</t>
  </si>
  <si>
    <t xml:space="preserve">Результат </t>
  </si>
  <si>
    <t>Результат</t>
  </si>
  <si>
    <t>ВЕСОВАЯ КАТЕГОРИЯ   48</t>
  </si>
  <si>
    <t>Купрюшина Наталья</t>
  </si>
  <si>
    <t>45,30</t>
  </si>
  <si>
    <t>37,5</t>
  </si>
  <si>
    <t>42,5</t>
  </si>
  <si>
    <t>Кокурина Юлия</t>
  </si>
  <si>
    <t>Открытая (29.04.1982)/39</t>
  </si>
  <si>
    <t>49,80</t>
  </si>
  <si>
    <t xml:space="preserve">Стальная гвардия </t>
  </si>
  <si>
    <t>57,5</t>
  </si>
  <si>
    <t>62,5</t>
  </si>
  <si>
    <t>122,5</t>
  </si>
  <si>
    <t>ВЕСОВАЯ КАТЕГОРИЯ   56</t>
  </si>
  <si>
    <t>Купрюшин Андрей</t>
  </si>
  <si>
    <t>Открытая (17.05.1997)/24</t>
  </si>
  <si>
    <t>54,60</t>
  </si>
  <si>
    <t>92,5</t>
  </si>
  <si>
    <t>Лунин Егор</t>
  </si>
  <si>
    <t>Юноши 15-19 (23.03.2003)/18</t>
  </si>
  <si>
    <t>74,30</t>
  </si>
  <si>
    <t>117,5</t>
  </si>
  <si>
    <t>Ширунов Андрей</t>
  </si>
  <si>
    <t>73,60</t>
  </si>
  <si>
    <t>Селезнев Александр</t>
  </si>
  <si>
    <t>Открытая (18.05.1975)/46</t>
  </si>
  <si>
    <t>72,50</t>
  </si>
  <si>
    <t>Губченко Ярослав</t>
  </si>
  <si>
    <t>Открытая (20.11.1984)/36</t>
  </si>
  <si>
    <t>74,40</t>
  </si>
  <si>
    <t>127,5</t>
  </si>
  <si>
    <t>Шишов Вячеслав</t>
  </si>
  <si>
    <t>Открытая (10.12.1984)/36</t>
  </si>
  <si>
    <t>73,10</t>
  </si>
  <si>
    <t>Гусев Алексей</t>
  </si>
  <si>
    <t>70,00</t>
  </si>
  <si>
    <t>Жуков Сергей</t>
  </si>
  <si>
    <t>Открытая (11.07.1981)/40</t>
  </si>
  <si>
    <t>81,00</t>
  </si>
  <si>
    <t>Булычёв Вадим</t>
  </si>
  <si>
    <t>81,60</t>
  </si>
  <si>
    <t xml:space="preserve">Полёт </t>
  </si>
  <si>
    <t>Ширунов Сергей</t>
  </si>
  <si>
    <t>Открытая (04.09.1989)/31</t>
  </si>
  <si>
    <t>Соколов Николай</t>
  </si>
  <si>
    <t>Открытая (26.01.1983)/38</t>
  </si>
  <si>
    <t>87,50</t>
  </si>
  <si>
    <t>Литов Николай</t>
  </si>
  <si>
    <t>Открытая (14.05.1994)/27</t>
  </si>
  <si>
    <t>86,10</t>
  </si>
  <si>
    <t>Никулин Алексей</t>
  </si>
  <si>
    <t>88,80</t>
  </si>
  <si>
    <t>Юров Роман</t>
  </si>
  <si>
    <t>Открытая (07.08.1985)/35</t>
  </si>
  <si>
    <t>96,40</t>
  </si>
  <si>
    <t xml:space="preserve">Павлово/Нижегородская область </t>
  </si>
  <si>
    <t>Дерябин Андрей</t>
  </si>
  <si>
    <t>Открытая (07.10.1994)/26</t>
  </si>
  <si>
    <t>99,30</t>
  </si>
  <si>
    <t>177,5</t>
  </si>
  <si>
    <t>Тимин Сергей</t>
  </si>
  <si>
    <t>Открытая (19.05.1991)/30</t>
  </si>
  <si>
    <t>114,60</t>
  </si>
  <si>
    <t>Февралев Алексей</t>
  </si>
  <si>
    <t>Открытая (17.02.1985)/36</t>
  </si>
  <si>
    <t>115,50</t>
  </si>
  <si>
    <t>Шпагин Максим</t>
  </si>
  <si>
    <t>122,80</t>
  </si>
  <si>
    <t>187,5</t>
  </si>
  <si>
    <t>120,5100</t>
  </si>
  <si>
    <t>113,1500</t>
  </si>
  <si>
    <t>108,3283</t>
  </si>
  <si>
    <t>3</t>
  </si>
  <si>
    <t>Большаков Сергей</t>
  </si>
  <si>
    <t>Открытая (06.05.1991)/30</t>
  </si>
  <si>
    <t>114,00</t>
  </si>
  <si>
    <t>Головкин Геннадий</t>
  </si>
  <si>
    <t>Открытая (27.02.1985)/36</t>
  </si>
  <si>
    <t>90,00</t>
  </si>
  <si>
    <t>Баранцева Ирина</t>
  </si>
  <si>
    <t>Открытая (15.04.1989)/32</t>
  </si>
  <si>
    <t>71,70</t>
  </si>
  <si>
    <t>Козлова Юлия</t>
  </si>
  <si>
    <t>73,00</t>
  </si>
  <si>
    <t>105,0</t>
  </si>
  <si>
    <t>Каныгина Татьяна</t>
  </si>
  <si>
    <t>75,70</t>
  </si>
  <si>
    <t>Каякин Дмитрий</t>
  </si>
  <si>
    <t>67,70</t>
  </si>
  <si>
    <t xml:space="preserve">Театр силы </t>
  </si>
  <si>
    <t>Баранцев Михаил</t>
  </si>
  <si>
    <t>Открытая (07.10.1984)/36</t>
  </si>
  <si>
    <t>Эсаулов Владимир</t>
  </si>
  <si>
    <t>87,70</t>
  </si>
  <si>
    <t>Карпов Евгений</t>
  </si>
  <si>
    <t>88,30</t>
  </si>
  <si>
    <t>Романов Валерий</t>
  </si>
  <si>
    <t>94,20</t>
  </si>
  <si>
    <t>Моксина Ольга</t>
  </si>
  <si>
    <t>Открытая (30.07.1982)/38</t>
  </si>
  <si>
    <t>54,90</t>
  </si>
  <si>
    <t>Шахунц Евгения</t>
  </si>
  <si>
    <t>Открытая (14.04.1992)/29</t>
  </si>
  <si>
    <t>54,20</t>
  </si>
  <si>
    <t>Целикова Ольга</t>
  </si>
  <si>
    <t>Открытая (27.01.1985)/36</t>
  </si>
  <si>
    <t>54,30</t>
  </si>
  <si>
    <t>107,5</t>
  </si>
  <si>
    <t>112,5</t>
  </si>
  <si>
    <t>ВЕСОВАЯ КАТЕГОРИЯ   60</t>
  </si>
  <si>
    <t>Шигапова Антонина</t>
  </si>
  <si>
    <t>Открытая (05.04.1988)/33</t>
  </si>
  <si>
    <t>56,60</t>
  </si>
  <si>
    <t>Суртаева Оксана</t>
  </si>
  <si>
    <t>59,70</t>
  </si>
  <si>
    <t>Крайнова Светлана</t>
  </si>
  <si>
    <t>Открытая (30.03.1993)/28</t>
  </si>
  <si>
    <t>66,50</t>
  </si>
  <si>
    <t>Ланцов Дмитрий</t>
  </si>
  <si>
    <t>Открытая (15.05.1988)/33</t>
  </si>
  <si>
    <t>72,80</t>
  </si>
  <si>
    <t>Хамизов Алим</t>
  </si>
  <si>
    <t>Открытая (26.06.1996)/25</t>
  </si>
  <si>
    <t>85,70</t>
  </si>
  <si>
    <t>Киселев Евгений</t>
  </si>
  <si>
    <t>Открытая (23.08.1988)/32</t>
  </si>
  <si>
    <t>85,90</t>
  </si>
  <si>
    <t>Шкуратов Кирилл</t>
  </si>
  <si>
    <t>Открытая (28.08.1979)/41</t>
  </si>
  <si>
    <t>94,90</t>
  </si>
  <si>
    <t>Хрестин Федор</t>
  </si>
  <si>
    <t>Открытая (14.07.1984)/37</t>
  </si>
  <si>
    <t>99,00</t>
  </si>
  <si>
    <t>Новицкий Александр</t>
  </si>
  <si>
    <t>Открытая (15.02.1989)/32</t>
  </si>
  <si>
    <t>107,00</t>
  </si>
  <si>
    <t>56</t>
  </si>
  <si>
    <t>161,3250</t>
  </si>
  <si>
    <t>157,8412</t>
  </si>
  <si>
    <t>153,9053</t>
  </si>
  <si>
    <t>150,7190</t>
  </si>
  <si>
    <t>143,1290</t>
  </si>
  <si>
    <t>141,9210</t>
  </si>
  <si>
    <t>Казарина Елена</t>
  </si>
  <si>
    <t xml:space="preserve">Королёв/Московская область </t>
  </si>
  <si>
    <t>Пирогов Иван</t>
  </si>
  <si>
    <t>Открытая (17.08.1996)/24</t>
  </si>
  <si>
    <t>70,90</t>
  </si>
  <si>
    <t xml:space="preserve">Нижний Новгород/Нижегородская область </t>
  </si>
  <si>
    <t>202,5</t>
  </si>
  <si>
    <t>Боровков Владимир</t>
  </si>
  <si>
    <t>Открытая (13.11.1992)/28</t>
  </si>
  <si>
    <t>71,50</t>
  </si>
  <si>
    <t xml:space="preserve">Кстово/Нижегородская область </t>
  </si>
  <si>
    <t>Остапенко Артем</t>
  </si>
  <si>
    <t>Открытая (03.03.1992)/29</t>
  </si>
  <si>
    <t>78,70</t>
  </si>
  <si>
    <t>Апрелова Надежда</t>
  </si>
  <si>
    <t>Открытая (24.07.1963)/57</t>
  </si>
  <si>
    <t>50,60</t>
  </si>
  <si>
    <t>Коптелов Игорь</t>
  </si>
  <si>
    <t>87,60</t>
  </si>
  <si>
    <t>20,0</t>
  </si>
  <si>
    <t>22,5</t>
  </si>
  <si>
    <t>25,0</t>
  </si>
  <si>
    <t>Савин Александр</t>
  </si>
  <si>
    <t>Открытая (04.08.1983)/37</t>
  </si>
  <si>
    <t>64,70</t>
  </si>
  <si>
    <t>Ткач Александр</t>
  </si>
  <si>
    <t>Открытая (05.10.1983)/37</t>
  </si>
  <si>
    <t>80,20</t>
  </si>
  <si>
    <t>Данилов Роман</t>
  </si>
  <si>
    <t>Открытая (22.09.1995)/25</t>
  </si>
  <si>
    <t>88,60</t>
  </si>
  <si>
    <t>Магомедов Али</t>
  </si>
  <si>
    <t>Открытая (21.10.1976)/44</t>
  </si>
  <si>
    <t>105,50</t>
  </si>
  <si>
    <t>Театр силы</t>
  </si>
  <si>
    <t>Лично</t>
  </si>
  <si>
    <t xml:space="preserve">Лично </t>
  </si>
  <si>
    <t>Михайлов В.</t>
  </si>
  <si>
    <t xml:space="preserve">Хрестин Ф. </t>
  </si>
  <si>
    <t xml:space="preserve">Волжский А. </t>
  </si>
  <si>
    <t>Козырев О.</t>
  </si>
  <si>
    <t>Нижний Новгород/Нижегородская область</t>
  </si>
  <si>
    <t>Волжский А.</t>
  </si>
  <si>
    <t xml:space="preserve">Постнов Д. </t>
  </si>
  <si>
    <t>Коптелов И.</t>
  </si>
  <si>
    <t xml:space="preserve">Салахетдинов Э. </t>
  </si>
  <si>
    <t>Спиридонов В.</t>
  </si>
  <si>
    <t>Бугров Е.</t>
  </si>
  <si>
    <t>Ляпин Е.</t>
  </si>
  <si>
    <t xml:space="preserve">Аршинов И. </t>
  </si>
  <si>
    <t>Дзержинск/Нижегородская область</t>
  </si>
  <si>
    <t>Романов В.</t>
  </si>
  <si>
    <t>Поляков А.</t>
  </si>
  <si>
    <t>Петрушкин Р.</t>
  </si>
  <si>
    <t>Большаков С.</t>
  </si>
  <si>
    <t>Лапшин А.</t>
  </si>
  <si>
    <t>Богородск/Нижегородская область</t>
  </si>
  <si>
    <t>Шалаев Е.</t>
  </si>
  <si>
    <t>Сидоров А.</t>
  </si>
  <si>
    <t>Васев А.</t>
  </si>
  <si>
    <t>Аршинов И.</t>
  </si>
  <si>
    <t>Кулаков А.</t>
  </si>
  <si>
    <t>Панкратов М.</t>
  </si>
  <si>
    <t xml:space="preserve">Коптелов И. </t>
  </si>
  <si>
    <t>Всероссийский мастерский турнир "Кубок Чкалова"
IPL Пауэрлифтинг без экипировки ДК
Чкаловск/Нижегородская область, 17 июля 2021 года</t>
  </si>
  <si>
    <t>Всероссийский мастерский турнир "Кубок Чкалова"
IPL Пауэрлифтинг без экипировки
Чкаловск/Нижегородская область, 17 июля 2021 года</t>
  </si>
  <si>
    <t>Всероссийский мастерский турнир "Кубок Чкалова"
IPL Пауэрлифтинг в бинтах ДК
Чкаловск/Нижегородская область, 17 июля 2021 года</t>
  </si>
  <si>
    <t>Всероссийский мастерский турнир "Кубок Чкалова"
IPL Пауэрлифтинг в бинтах
Чкаловск/Нижегородская область, 17 июля 2021 года</t>
  </si>
  <si>
    <t>Всероссийский мастерский турнир "Кубок Чкалова"
IPL Силовое двоеборье без экипировки ДК
Чкаловск/Нижегородская область, 17 июля 2021 года</t>
  </si>
  <si>
    <t>Всероссийский мастерский турнир "Кубок Чкалова"
IPL Силовое двоеборье без экипировки
Чкаловск/Нижегородская область, 17 июля 2021 года</t>
  </si>
  <si>
    <t>Всероссийский мастерский турнир "Кубок Чкалова"
IPL Силовое двоеборье в экипировке
Чкаловск/Нижегородская область, 17 июля 2021 года</t>
  </si>
  <si>
    <t>Всероссийский мастерский турнир "Кубок Чкалова"
IPL Жим лежа без экипировки ДК
Чкаловск/Нижегородская область, 17 июля 2021 года</t>
  </si>
  <si>
    <t>Всероссийский мастерский турнир "Кубок Чкалова"
IPL Жим лежа без экипировки
Чкаловск/Нижегородская область, 17 июля 2021 года</t>
  </si>
  <si>
    <t>Всероссийский мастерский турнир "Кубок Чкалова"
IPL Жим лежа в однослойной экипировке ДК
Чкаловск/Нижегородская область, 17 июля 2021 года</t>
  </si>
  <si>
    <t>Всероссийский мастерский турнир "Кубок Чкалова"
IPL Жим лежа в однослойной экипировке
Чкаловск/Нижегородская область, 17 июля 2021 года</t>
  </si>
  <si>
    <t>Всероссийский мастерский турнир "Кубок Чкалова"
СПР Жим лежа в однопетельной софт экипировке ДК
Чкаловск/Нижегородская область, 17 июля 2021 года</t>
  </si>
  <si>
    <t>Всероссийский мастерский турнир "Кубок Чкалова"
IPL Становая тяга без экипировки ДК
Чкаловск/Нижегородская область, 17 июля 2021 года</t>
  </si>
  <si>
    <t>Всероссийский мастерский турнир "Кубок Чкалова"
IPL Становая тяга без экипировки
Чкаловск/Нижегородская область, 17 июля 2021 года</t>
  </si>
  <si>
    <t>Всероссийский мастерский турнир "Кубок Чкалова"
IPL Становая тяга в однослойной экипировке
Чкаловск/Нижегородская область, 17 июля 2021 года</t>
  </si>
  <si>
    <t>Всероссийский мастерский турнир "Кубок Чкалова"
СПР Строгий подъем штанги на бицепс ДК
Чкаловск/Нижегородская область, 17 июля 2021 года</t>
  </si>
  <si>
    <t>Мастера 40-44 (21.01.1980)/41</t>
  </si>
  <si>
    <t>Мастера 40-44 (25.07.1976)/44</t>
  </si>
  <si>
    <t>Мастера 45-49 (07.02.1974)/47</t>
  </si>
  <si>
    <t>Мастера 40-44 (15.09.1976)/44</t>
  </si>
  <si>
    <t>Мастера 45-49 (30.05.1976)/45</t>
  </si>
  <si>
    <t>Мастера 45-49 (15.05.1972)/49</t>
  </si>
  <si>
    <t>Юниоры 20-23 (21.05.1998)/23</t>
  </si>
  <si>
    <t>Мастера 40-44 (27.02.1981)/40</t>
  </si>
  <si>
    <t>Мастера 45-49 (10.10.1973)/47</t>
  </si>
  <si>
    <t>Мастера 45-49 (22.01.1976)/45</t>
  </si>
  <si>
    <t>Мастера 40-44 (04.01.1979)/42</t>
  </si>
  <si>
    <t>Мастера 45-49 (14.07.1976)/45</t>
  </si>
  <si>
    <t>Мастера 50-59 (24.07.1963)/57</t>
  </si>
  <si>
    <t>Мастера 40-49 (29.01.1973)/48</t>
  </si>
  <si>
    <t>Мастера 40-44 (10.03.1977)/44</t>
  </si>
  <si>
    <t>Мастера 45-49 (10.08.1974)/46</t>
  </si>
  <si>
    <t>Мастера 55-59 (01.12.1963)/57</t>
  </si>
  <si>
    <t>Юниоры 20-23 (09.08.2000)/20</t>
  </si>
  <si>
    <t>Мастера 60-64 (22.07.1960)/60</t>
  </si>
  <si>
    <t>Мастера 60-64 (18.07.1956)/64</t>
  </si>
  <si>
    <t>Мастера 60-64 (15.02.1960)/61</t>
  </si>
  <si>
    <t>Мастера 40-44 (14.10.1980)/40</t>
  </si>
  <si>
    <t>Мастера 40-49 (15.05.1972)/49</t>
  </si>
  <si>
    <t>Мастера 40-49 (27.02.1981)/40</t>
  </si>
  <si>
    <t>Мастера 40-49 (10.10.1973)/47</t>
  </si>
  <si>
    <t>Весовая категория</t>
  </si>
  <si>
    <t>СК "Качалка"</t>
  </si>
  <si>
    <t>Жим</t>
  </si>
  <si>
    <t xml:space="preserve">
Дата рождения/Возраст</t>
  </si>
  <si>
    <t>Возрастная группа</t>
  </si>
  <si>
    <t>T</t>
  </si>
  <si>
    <t>O</t>
  </si>
  <si>
    <t>M1</t>
  </si>
  <si>
    <t>M2</t>
  </si>
  <si>
    <t>J</t>
  </si>
  <si>
    <t>M4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</si>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</sst>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A114-ED9E-4960-A52B-FB2DF76DE3CE}">
  <dimension ref="A1:V19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.5" style="5" bestFit="1" customWidth="1"/>
    <col min="4" max="4" width="19" style="5" customWidth="1"/>
    <col min="5" max="5" width="10.5" style="5" bestFit="1" customWidth="1"/>
    <col min="6" max="6" width="16.6640625" style="5" customWidth="1"/>
    <col min="7" max="7" width="34.83203125" style="5" bestFit="1" customWidth="1"/>
    <col min="8" max="10" width="5.6640625" style="6" customWidth="1"/>
    <col min="11" max="11" width="4.83203125" style="6" customWidth="1"/>
    <col min="12" max="14" width="5.6640625" style="6" customWidth="1"/>
    <col min="15" max="15" width="4.83203125" style="6" customWidth="1"/>
    <col min="16" max="18" width="5.6640625" style="6" customWidth="1"/>
    <col min="19" max="19" width="4.83203125" style="6" customWidth="1"/>
    <col min="20" max="20" width="7.83203125" style="6" bestFit="1" customWidth="1"/>
    <col min="21" max="21" width="8.83203125" style="6" bestFit="1" customWidth="1"/>
    <col min="22" max="22" width="19.33203125" style="5" customWidth="1"/>
    <col min="23" max="16384" width="9.1640625" style="3"/>
  </cols>
  <sheetData>
    <row r="1" spans="1:22" s="2" customFormat="1" ht="29" customHeight="1">
      <c r="A1" s="56" t="s">
        <v>376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</row>
    <row r="2" spans="1:22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9</v>
      </c>
      <c r="I3" s="50"/>
      <c r="J3" s="50"/>
      <c r="K3" s="50"/>
      <c r="L3" s="50" t="s">
        <v>10</v>
      </c>
      <c r="M3" s="50"/>
      <c r="N3" s="50"/>
      <c r="O3" s="50"/>
      <c r="P3" s="50" t="s">
        <v>11</v>
      </c>
      <c r="Q3" s="50"/>
      <c r="R3" s="50"/>
      <c r="S3" s="50"/>
      <c r="T3" s="50" t="s">
        <v>1</v>
      </c>
      <c r="U3" s="50" t="s">
        <v>3</v>
      </c>
      <c r="V3" s="52" t="s">
        <v>2</v>
      </c>
    </row>
    <row r="4" spans="1:22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51"/>
      <c r="U4" s="51"/>
      <c r="V4" s="53"/>
    </row>
    <row r="5" spans="1:22" ht="16">
      <c r="A5" s="54" t="s">
        <v>79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2">
      <c r="A6" s="12" t="s">
        <v>77</v>
      </c>
      <c r="B6" s="11" t="s">
        <v>80</v>
      </c>
      <c r="C6" s="11" t="s">
        <v>81</v>
      </c>
      <c r="D6" s="11" t="s">
        <v>82</v>
      </c>
      <c r="E6" s="11" t="s">
        <v>422</v>
      </c>
      <c r="F6" s="11" t="s">
        <v>348</v>
      </c>
      <c r="G6" s="11" t="s">
        <v>83</v>
      </c>
      <c r="H6" s="21" t="s">
        <v>84</v>
      </c>
      <c r="I6" s="21" t="s">
        <v>18</v>
      </c>
      <c r="J6" s="26" t="s">
        <v>85</v>
      </c>
      <c r="K6" s="12"/>
      <c r="L6" s="21" t="s">
        <v>19</v>
      </c>
      <c r="M6" s="21" t="s">
        <v>86</v>
      </c>
      <c r="N6" s="21" t="s">
        <v>87</v>
      </c>
      <c r="O6" s="12"/>
      <c r="P6" s="21" t="s">
        <v>88</v>
      </c>
      <c r="Q6" s="26" t="s">
        <v>89</v>
      </c>
      <c r="R6" s="21" t="s">
        <v>89</v>
      </c>
      <c r="S6" s="12"/>
      <c r="T6" s="12" t="str">
        <f>"207,5"</f>
        <v>207,5</v>
      </c>
      <c r="U6" s="12" t="str">
        <f>"262,9648"</f>
        <v>262,9648</v>
      </c>
      <c r="V6" s="11" t="s">
        <v>365</v>
      </c>
    </row>
    <row r="7" spans="1:22">
      <c r="A7" s="25" t="s">
        <v>78</v>
      </c>
      <c r="B7" s="24" t="s">
        <v>90</v>
      </c>
      <c r="C7" s="24" t="s">
        <v>91</v>
      </c>
      <c r="D7" s="24" t="s">
        <v>92</v>
      </c>
      <c r="E7" s="24" t="s">
        <v>422</v>
      </c>
      <c r="F7" s="24" t="s">
        <v>348</v>
      </c>
      <c r="G7" s="24" t="s">
        <v>353</v>
      </c>
      <c r="H7" s="27" t="s">
        <v>84</v>
      </c>
      <c r="I7" s="28" t="s">
        <v>93</v>
      </c>
      <c r="J7" s="28" t="s">
        <v>93</v>
      </c>
      <c r="K7" s="25"/>
      <c r="L7" s="27" t="s">
        <v>94</v>
      </c>
      <c r="M7" s="27" t="s">
        <v>95</v>
      </c>
      <c r="N7" s="28" t="s">
        <v>96</v>
      </c>
      <c r="O7" s="25"/>
      <c r="P7" s="27" t="s">
        <v>18</v>
      </c>
      <c r="Q7" s="27" t="s">
        <v>97</v>
      </c>
      <c r="R7" s="27" t="s">
        <v>88</v>
      </c>
      <c r="S7" s="25"/>
      <c r="T7" s="25" t="str">
        <f>"182,5"</f>
        <v>182,5</v>
      </c>
      <c r="U7" s="25" t="str">
        <f>"228,8732"</f>
        <v>228,8732</v>
      </c>
      <c r="V7" s="24"/>
    </row>
    <row r="8" spans="1:22">
      <c r="A8" s="14" t="s">
        <v>77</v>
      </c>
      <c r="B8" s="13" t="s">
        <v>98</v>
      </c>
      <c r="C8" s="13" t="s">
        <v>99</v>
      </c>
      <c r="D8" s="13" t="s">
        <v>100</v>
      </c>
      <c r="E8" s="13" t="s">
        <v>423</v>
      </c>
      <c r="F8" s="13" t="s">
        <v>348</v>
      </c>
      <c r="G8" s="13" t="s">
        <v>29</v>
      </c>
      <c r="H8" s="23" t="s">
        <v>84</v>
      </c>
      <c r="I8" s="23" t="s">
        <v>84</v>
      </c>
      <c r="J8" s="22" t="s">
        <v>84</v>
      </c>
      <c r="K8" s="14"/>
      <c r="L8" s="22" t="s">
        <v>86</v>
      </c>
      <c r="M8" s="22" t="s">
        <v>87</v>
      </c>
      <c r="N8" s="23" t="s">
        <v>20</v>
      </c>
      <c r="O8" s="14"/>
      <c r="P8" s="22" t="s">
        <v>85</v>
      </c>
      <c r="Q8" s="22" t="s">
        <v>22</v>
      </c>
      <c r="R8" s="23" t="s">
        <v>101</v>
      </c>
      <c r="S8" s="14"/>
      <c r="T8" s="14" t="str">
        <f>"195,0"</f>
        <v>195,0</v>
      </c>
      <c r="U8" s="14" t="str">
        <f>"246,7530"</f>
        <v>246,7530</v>
      </c>
      <c r="V8" s="13"/>
    </row>
    <row r="9" spans="1:22">
      <c r="B9" s="5" t="s">
        <v>8</v>
      </c>
    </row>
    <row r="10" spans="1:22" ht="16">
      <c r="A10" s="46" t="s">
        <v>12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22">
      <c r="A11" s="10" t="s">
        <v>77</v>
      </c>
      <c r="B11" s="9" t="s">
        <v>102</v>
      </c>
      <c r="C11" s="9" t="s">
        <v>103</v>
      </c>
      <c r="D11" s="9" t="s">
        <v>104</v>
      </c>
      <c r="E11" s="9" t="s">
        <v>422</v>
      </c>
      <c r="F11" s="9" t="s">
        <v>348</v>
      </c>
      <c r="G11" s="9" t="s">
        <v>83</v>
      </c>
      <c r="H11" s="19" t="s">
        <v>40</v>
      </c>
      <c r="I11" s="20" t="s">
        <v>33</v>
      </c>
      <c r="J11" s="20" t="s">
        <v>33</v>
      </c>
      <c r="K11" s="10"/>
      <c r="L11" s="19" t="s">
        <v>97</v>
      </c>
      <c r="M11" s="19" t="s">
        <v>88</v>
      </c>
      <c r="N11" s="20" t="s">
        <v>101</v>
      </c>
      <c r="O11" s="10"/>
      <c r="P11" s="19" t="s">
        <v>105</v>
      </c>
      <c r="Q11" s="19" t="s">
        <v>106</v>
      </c>
      <c r="R11" s="19" t="s">
        <v>65</v>
      </c>
      <c r="S11" s="10"/>
      <c r="T11" s="10" t="str">
        <f>"395,0"</f>
        <v>395,0</v>
      </c>
      <c r="U11" s="10" t="str">
        <f>"292,2210"</f>
        <v>292,2210</v>
      </c>
      <c r="V11" s="9" t="s">
        <v>365</v>
      </c>
    </row>
    <row r="12" spans="1:22">
      <c r="B12" s="5" t="s">
        <v>8</v>
      </c>
    </row>
    <row r="13" spans="1:22" ht="16">
      <c r="A13" s="46" t="s">
        <v>25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22">
      <c r="A14" s="12" t="s">
        <v>77</v>
      </c>
      <c r="B14" s="11" t="s">
        <v>107</v>
      </c>
      <c r="C14" s="11" t="s">
        <v>108</v>
      </c>
      <c r="D14" s="11" t="s">
        <v>109</v>
      </c>
      <c r="E14" s="11" t="s">
        <v>423</v>
      </c>
      <c r="F14" s="11" t="s">
        <v>348</v>
      </c>
      <c r="G14" s="11" t="s">
        <v>353</v>
      </c>
      <c r="H14" s="21" t="s">
        <v>41</v>
      </c>
      <c r="I14" s="21" t="s">
        <v>42</v>
      </c>
      <c r="J14" s="26" t="s">
        <v>46</v>
      </c>
      <c r="K14" s="12"/>
      <c r="L14" s="21" t="s">
        <v>110</v>
      </c>
      <c r="M14" s="21" t="s">
        <v>105</v>
      </c>
      <c r="N14" s="26" t="s">
        <v>106</v>
      </c>
      <c r="O14" s="12"/>
      <c r="P14" s="21" t="s">
        <v>31</v>
      </c>
      <c r="Q14" s="21" t="s">
        <v>67</v>
      </c>
      <c r="R14" s="26" t="s">
        <v>35</v>
      </c>
      <c r="S14" s="12"/>
      <c r="T14" s="12" t="str">
        <f>"570,0"</f>
        <v>570,0</v>
      </c>
      <c r="U14" s="12" t="str">
        <f>"367,0800"</f>
        <v>367,0800</v>
      </c>
      <c r="V14" s="11" t="s">
        <v>371</v>
      </c>
    </row>
    <row r="15" spans="1:22">
      <c r="A15" s="14" t="s">
        <v>77</v>
      </c>
      <c r="B15" s="13" t="s">
        <v>111</v>
      </c>
      <c r="C15" s="13" t="s">
        <v>392</v>
      </c>
      <c r="D15" s="13" t="s">
        <v>112</v>
      </c>
      <c r="E15" s="13" t="s">
        <v>424</v>
      </c>
      <c r="F15" s="13" t="s">
        <v>348</v>
      </c>
      <c r="G15" s="13" t="s">
        <v>353</v>
      </c>
      <c r="H15" s="22" t="s">
        <v>113</v>
      </c>
      <c r="I15" s="22" t="s">
        <v>45</v>
      </c>
      <c r="J15" s="23" t="s">
        <v>114</v>
      </c>
      <c r="K15" s="14"/>
      <c r="L15" s="22" t="s">
        <v>101</v>
      </c>
      <c r="M15" s="22" t="s">
        <v>23</v>
      </c>
      <c r="N15" s="23" t="s">
        <v>115</v>
      </c>
      <c r="O15" s="14"/>
      <c r="P15" s="22" t="s">
        <v>116</v>
      </c>
      <c r="Q15" s="23" t="s">
        <v>117</v>
      </c>
      <c r="R15" s="23" t="s">
        <v>117</v>
      </c>
      <c r="S15" s="14"/>
      <c r="T15" s="14" t="str">
        <f>"375,0"</f>
        <v>375,0</v>
      </c>
      <c r="U15" s="14" t="str">
        <f>"246,0240"</f>
        <v>246,0240</v>
      </c>
      <c r="V15" s="13" t="s">
        <v>372</v>
      </c>
    </row>
    <row r="16" spans="1:22">
      <c r="B16" s="5" t="s">
        <v>8</v>
      </c>
    </row>
    <row r="17" spans="1:22" ht="16">
      <c r="A17" s="46" t="s">
        <v>48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22">
      <c r="A18" s="10" t="s">
        <v>77</v>
      </c>
      <c r="B18" s="9" t="s">
        <v>118</v>
      </c>
      <c r="C18" s="9" t="s">
        <v>393</v>
      </c>
      <c r="D18" s="9" t="s">
        <v>119</v>
      </c>
      <c r="E18" s="9" t="s">
        <v>424</v>
      </c>
      <c r="F18" s="9" t="s">
        <v>348</v>
      </c>
      <c r="G18" s="9" t="s">
        <v>353</v>
      </c>
      <c r="H18" s="19" t="s">
        <v>42</v>
      </c>
      <c r="I18" s="20" t="s">
        <v>46</v>
      </c>
      <c r="J18" s="20" t="s">
        <v>46</v>
      </c>
      <c r="K18" s="10"/>
      <c r="L18" s="19" t="s">
        <v>120</v>
      </c>
      <c r="M18" s="20" t="s">
        <v>121</v>
      </c>
      <c r="N18" s="20" t="s">
        <v>121</v>
      </c>
      <c r="O18" s="10"/>
      <c r="P18" s="19" t="s">
        <v>62</v>
      </c>
      <c r="Q18" s="19" t="s">
        <v>30</v>
      </c>
      <c r="R18" s="20" t="s">
        <v>31</v>
      </c>
      <c r="S18" s="10"/>
      <c r="T18" s="10" t="str">
        <f>"525,0"</f>
        <v>525,0</v>
      </c>
      <c r="U18" s="10" t="str">
        <f>"330,3947"</f>
        <v>330,3947</v>
      </c>
      <c r="V18" s="9"/>
    </row>
    <row r="19" spans="1:22">
      <c r="B19" s="5" t="s">
        <v>8</v>
      </c>
    </row>
  </sheetData>
  <mergeCells count="18"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10:S10"/>
    <mergeCell ref="A13:S13"/>
    <mergeCell ref="A17:S17"/>
    <mergeCell ref="B3:B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0CB5-1CF4-4FAA-898C-0FFE785AEA32}">
  <dimension ref="A1:V18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9.5" style="5" bestFit="1" customWidth="1"/>
    <col min="4" max="4" width="16.6640625" style="5" customWidth="1"/>
    <col min="5" max="5" width="10.5" style="5" bestFit="1" customWidth="1"/>
    <col min="6" max="6" width="15.83203125" style="5" customWidth="1"/>
    <col min="7" max="7" width="40" style="5" customWidth="1"/>
    <col min="8" max="10" width="5.6640625" style="6" customWidth="1"/>
    <col min="11" max="11" width="4.83203125" style="6" customWidth="1"/>
    <col min="12" max="14" width="5.6640625" style="6" customWidth="1"/>
    <col min="15" max="15" width="4.83203125" style="6" customWidth="1"/>
    <col min="16" max="18" width="5.6640625" style="6" customWidth="1"/>
    <col min="19" max="19" width="4.83203125" style="6" customWidth="1"/>
    <col min="20" max="20" width="7.83203125" style="6" bestFit="1" customWidth="1"/>
    <col min="21" max="21" width="8.83203125" style="6" bestFit="1" customWidth="1"/>
    <col min="22" max="22" width="21.1640625" style="5" customWidth="1"/>
    <col min="23" max="16384" width="9.1640625" style="3"/>
  </cols>
  <sheetData>
    <row r="1" spans="1:22" s="2" customFormat="1" ht="29" customHeight="1">
      <c r="A1" s="56" t="s">
        <v>377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</row>
    <row r="2" spans="1:22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9</v>
      </c>
      <c r="I3" s="50"/>
      <c r="J3" s="50"/>
      <c r="K3" s="50"/>
      <c r="L3" s="50" t="s">
        <v>10</v>
      </c>
      <c r="M3" s="50"/>
      <c r="N3" s="50"/>
      <c r="O3" s="50"/>
      <c r="P3" s="50" t="s">
        <v>11</v>
      </c>
      <c r="Q3" s="50"/>
      <c r="R3" s="50"/>
      <c r="S3" s="50"/>
      <c r="T3" s="50" t="s">
        <v>1</v>
      </c>
      <c r="U3" s="50" t="s">
        <v>3</v>
      </c>
      <c r="V3" s="52" t="s">
        <v>2</v>
      </c>
    </row>
    <row r="4" spans="1:22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51"/>
      <c r="U4" s="51"/>
      <c r="V4" s="53"/>
    </row>
    <row r="5" spans="1:22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2">
      <c r="A6" s="10" t="s">
        <v>77</v>
      </c>
      <c r="B6" s="9" t="s">
        <v>13</v>
      </c>
      <c r="C6" s="9" t="s">
        <v>14</v>
      </c>
      <c r="D6" s="9" t="s">
        <v>15</v>
      </c>
      <c r="E6" s="9" t="s">
        <v>423</v>
      </c>
      <c r="F6" s="9" t="s">
        <v>348</v>
      </c>
      <c r="G6" s="9" t="s">
        <v>353</v>
      </c>
      <c r="H6" s="19" t="s">
        <v>17</v>
      </c>
      <c r="I6" s="20" t="s">
        <v>18</v>
      </c>
      <c r="J6" s="19" t="s">
        <v>18</v>
      </c>
      <c r="K6" s="10"/>
      <c r="L6" s="19" t="s">
        <v>19</v>
      </c>
      <c r="M6" s="19" t="s">
        <v>20</v>
      </c>
      <c r="N6" s="19" t="s">
        <v>21</v>
      </c>
      <c r="O6" s="10"/>
      <c r="P6" s="19" t="s">
        <v>22</v>
      </c>
      <c r="Q6" s="19" t="s">
        <v>23</v>
      </c>
      <c r="R6" s="20" t="s">
        <v>24</v>
      </c>
      <c r="S6" s="10"/>
      <c r="T6" s="10" t="str">
        <f>"215,0"</f>
        <v>215,0</v>
      </c>
      <c r="U6" s="10" t="str">
        <f>"216,2685"</f>
        <v>216,2685</v>
      </c>
      <c r="V6" s="9"/>
    </row>
    <row r="7" spans="1:22">
      <c r="B7" s="5" t="s">
        <v>8</v>
      </c>
    </row>
    <row r="8" spans="1:22" ht="16">
      <c r="A8" s="46" t="s">
        <v>25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2">
      <c r="A9" s="10" t="s">
        <v>77</v>
      </c>
      <c r="B9" s="9" t="s">
        <v>26</v>
      </c>
      <c r="C9" s="9" t="s">
        <v>27</v>
      </c>
      <c r="D9" s="9" t="s">
        <v>28</v>
      </c>
      <c r="E9" s="9" t="s">
        <v>423</v>
      </c>
      <c r="F9" s="9" t="s">
        <v>348</v>
      </c>
      <c r="G9" s="9" t="s">
        <v>29</v>
      </c>
      <c r="H9" s="19" t="s">
        <v>30</v>
      </c>
      <c r="I9" s="19" t="s">
        <v>31</v>
      </c>
      <c r="J9" s="19" t="s">
        <v>32</v>
      </c>
      <c r="K9" s="10"/>
      <c r="L9" s="19" t="s">
        <v>33</v>
      </c>
      <c r="M9" s="20" t="s">
        <v>34</v>
      </c>
      <c r="N9" s="19" t="s">
        <v>34</v>
      </c>
      <c r="O9" s="10"/>
      <c r="P9" s="19" t="s">
        <v>35</v>
      </c>
      <c r="Q9" s="20" t="s">
        <v>36</v>
      </c>
      <c r="R9" s="20" t="s">
        <v>36</v>
      </c>
      <c r="S9" s="10"/>
      <c r="T9" s="10" t="str">
        <f>"655,0"</f>
        <v>655,0</v>
      </c>
      <c r="U9" s="10" t="str">
        <f>"421,2960"</f>
        <v>421,2960</v>
      </c>
      <c r="V9" s="9" t="s">
        <v>373</v>
      </c>
    </row>
    <row r="10" spans="1:22">
      <c r="B10" s="5" t="s">
        <v>8</v>
      </c>
    </row>
    <row r="11" spans="1:22" ht="16">
      <c r="A11" s="46" t="s">
        <v>37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22">
      <c r="A12" s="10" t="s">
        <v>77</v>
      </c>
      <c r="B12" s="9" t="s">
        <v>38</v>
      </c>
      <c r="C12" s="9" t="s">
        <v>394</v>
      </c>
      <c r="D12" s="9" t="s">
        <v>39</v>
      </c>
      <c r="E12" s="9" t="s">
        <v>425</v>
      </c>
      <c r="F12" s="9" t="s">
        <v>348</v>
      </c>
      <c r="G12" s="9" t="s">
        <v>353</v>
      </c>
      <c r="H12" s="19" t="s">
        <v>40</v>
      </c>
      <c r="I12" s="19" t="s">
        <v>41</v>
      </c>
      <c r="J12" s="20" t="s">
        <v>42</v>
      </c>
      <c r="K12" s="10"/>
      <c r="L12" s="19" t="s">
        <v>43</v>
      </c>
      <c r="M12" s="19" t="s">
        <v>44</v>
      </c>
      <c r="N12" s="19" t="s">
        <v>45</v>
      </c>
      <c r="O12" s="10"/>
      <c r="P12" s="19" t="s">
        <v>41</v>
      </c>
      <c r="Q12" s="19" t="s">
        <v>46</v>
      </c>
      <c r="R12" s="19" t="s">
        <v>47</v>
      </c>
      <c r="S12" s="10"/>
      <c r="T12" s="10" t="str">
        <f>"530,0"</f>
        <v>530,0</v>
      </c>
      <c r="U12" s="10" t="str">
        <f>"358,3449"</f>
        <v>358,3449</v>
      </c>
      <c r="V12" s="9" t="s">
        <v>352</v>
      </c>
    </row>
    <row r="13" spans="1:22">
      <c r="B13" s="5" t="s">
        <v>8</v>
      </c>
    </row>
    <row r="14" spans="1:22" ht="16">
      <c r="A14" s="46" t="s">
        <v>48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22">
      <c r="A15" s="12" t="s">
        <v>77</v>
      </c>
      <c r="B15" s="11" t="s">
        <v>49</v>
      </c>
      <c r="C15" s="11" t="s">
        <v>50</v>
      </c>
      <c r="D15" s="11" t="s">
        <v>51</v>
      </c>
      <c r="E15" s="11" t="s">
        <v>423</v>
      </c>
      <c r="F15" s="11" t="s">
        <v>52</v>
      </c>
      <c r="G15" s="11" t="s">
        <v>362</v>
      </c>
      <c r="H15" s="21" t="s">
        <v>35</v>
      </c>
      <c r="I15" s="21" t="s">
        <v>53</v>
      </c>
      <c r="J15" s="21" t="s">
        <v>54</v>
      </c>
      <c r="K15" s="12"/>
      <c r="L15" s="21" t="s">
        <v>41</v>
      </c>
      <c r="M15" s="21" t="s">
        <v>42</v>
      </c>
      <c r="N15" s="21" t="s">
        <v>55</v>
      </c>
      <c r="O15" s="12"/>
      <c r="P15" s="21" t="s">
        <v>56</v>
      </c>
      <c r="Q15" s="21" t="s">
        <v>57</v>
      </c>
      <c r="R15" s="21" t="s">
        <v>58</v>
      </c>
      <c r="S15" s="12"/>
      <c r="T15" s="12" t="str">
        <f>"790,0"</f>
        <v>790,0</v>
      </c>
      <c r="U15" s="12" t="str">
        <f>"467,4430"</f>
        <v>467,4430</v>
      </c>
      <c r="V15" s="11"/>
    </row>
    <row r="16" spans="1:22">
      <c r="A16" s="14" t="s">
        <v>78</v>
      </c>
      <c r="B16" s="13" t="s">
        <v>59</v>
      </c>
      <c r="C16" s="13" t="s">
        <v>60</v>
      </c>
      <c r="D16" s="13" t="s">
        <v>61</v>
      </c>
      <c r="E16" s="13" t="s">
        <v>423</v>
      </c>
      <c r="F16" s="13" t="s">
        <v>348</v>
      </c>
      <c r="G16" s="13" t="s">
        <v>362</v>
      </c>
      <c r="H16" s="22" t="s">
        <v>46</v>
      </c>
      <c r="I16" s="22" t="s">
        <v>62</v>
      </c>
      <c r="J16" s="23" t="s">
        <v>63</v>
      </c>
      <c r="K16" s="14"/>
      <c r="L16" s="22" t="s">
        <v>64</v>
      </c>
      <c r="M16" s="22" t="s">
        <v>65</v>
      </c>
      <c r="N16" s="22" t="s">
        <v>66</v>
      </c>
      <c r="O16" s="14"/>
      <c r="P16" s="22" t="s">
        <v>30</v>
      </c>
      <c r="Q16" s="22" t="s">
        <v>67</v>
      </c>
      <c r="R16" s="22" t="s">
        <v>36</v>
      </c>
      <c r="S16" s="14"/>
      <c r="T16" s="14" t="str">
        <f>"622,5"</f>
        <v>622,5</v>
      </c>
      <c r="U16" s="14" t="str">
        <f>"369,4538"</f>
        <v>369,4538</v>
      </c>
      <c r="V16" s="13" t="s">
        <v>374</v>
      </c>
    </row>
    <row r="17" spans="2:2">
      <c r="B17" s="5" t="s">
        <v>8</v>
      </c>
    </row>
    <row r="18" spans="2:2">
      <c r="B18" s="5" t="s">
        <v>8</v>
      </c>
    </row>
  </sheetData>
  <mergeCells count="18"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A11:S11"/>
    <mergeCell ref="A14:S14"/>
    <mergeCell ref="B3:B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47C2-F7A2-461B-AED3-161BD3C36CA2}">
  <dimension ref="A1:V7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7.33203125" style="5" bestFit="1" customWidth="1"/>
    <col min="4" max="4" width="21.5" style="5" bestFit="1" customWidth="1"/>
    <col min="5" max="5" width="10.5" style="5" bestFit="1" customWidth="1"/>
    <col min="6" max="6" width="17.5" style="5" customWidth="1"/>
    <col min="7" max="7" width="31.5" style="5" bestFit="1" customWidth="1"/>
    <col min="8" max="10" width="5.6640625" style="6" customWidth="1"/>
    <col min="11" max="11" width="4.83203125" style="6" customWidth="1"/>
    <col min="12" max="14" width="4.6640625" style="6" customWidth="1"/>
    <col min="15" max="15" width="4.83203125" style="6" customWidth="1"/>
    <col min="16" max="18" width="5.6640625" style="6" customWidth="1"/>
    <col min="19" max="19" width="4.83203125" style="6" customWidth="1"/>
    <col min="20" max="20" width="7.83203125" style="6" bestFit="1" customWidth="1"/>
    <col min="21" max="21" width="8.83203125" style="6" bestFit="1" customWidth="1"/>
    <col min="22" max="22" width="16.5" style="5" bestFit="1" customWidth="1"/>
    <col min="23" max="16384" width="9.1640625" style="3"/>
  </cols>
  <sheetData>
    <row r="1" spans="1:22" s="2" customFormat="1" ht="29" customHeight="1">
      <c r="A1" s="56" t="s">
        <v>378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</row>
    <row r="2" spans="1:22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9</v>
      </c>
      <c r="I3" s="50"/>
      <c r="J3" s="50"/>
      <c r="K3" s="50"/>
      <c r="L3" s="50" t="s">
        <v>10</v>
      </c>
      <c r="M3" s="50"/>
      <c r="N3" s="50"/>
      <c r="O3" s="50"/>
      <c r="P3" s="50" t="s">
        <v>11</v>
      </c>
      <c r="Q3" s="50"/>
      <c r="R3" s="50"/>
      <c r="S3" s="50"/>
      <c r="T3" s="50" t="s">
        <v>1</v>
      </c>
      <c r="U3" s="50" t="s">
        <v>3</v>
      </c>
      <c r="V3" s="52" t="s">
        <v>2</v>
      </c>
    </row>
    <row r="4" spans="1:22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51"/>
      <c r="U4" s="51"/>
      <c r="V4" s="53"/>
    </row>
    <row r="5" spans="1:22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2">
      <c r="A6" s="10" t="s">
        <v>77</v>
      </c>
      <c r="B6" s="9" t="s">
        <v>143</v>
      </c>
      <c r="C6" s="9" t="s">
        <v>144</v>
      </c>
      <c r="D6" s="9" t="s">
        <v>145</v>
      </c>
      <c r="E6" s="9" t="s">
        <v>422</v>
      </c>
      <c r="F6" s="9" t="s">
        <v>347</v>
      </c>
      <c r="G6" s="9" t="s">
        <v>29</v>
      </c>
      <c r="H6" s="19" t="s">
        <v>105</v>
      </c>
      <c r="I6" s="19" t="s">
        <v>106</v>
      </c>
      <c r="J6" s="20" t="s">
        <v>40</v>
      </c>
      <c r="K6" s="10"/>
      <c r="L6" s="19" t="s">
        <v>18</v>
      </c>
      <c r="M6" s="19" t="s">
        <v>85</v>
      </c>
      <c r="N6" s="20" t="s">
        <v>88</v>
      </c>
      <c r="O6" s="10"/>
      <c r="P6" s="19" t="s">
        <v>117</v>
      </c>
      <c r="Q6" s="19" t="s">
        <v>40</v>
      </c>
      <c r="R6" s="19" t="s">
        <v>33</v>
      </c>
      <c r="S6" s="10"/>
      <c r="T6" s="10" t="str">
        <f>"387,5"</f>
        <v>387,5</v>
      </c>
      <c r="U6" s="10" t="str">
        <f>"281,7513"</f>
        <v>281,7513</v>
      </c>
      <c r="V6" s="9"/>
    </row>
    <row r="7" spans="1:22">
      <c r="B7" s="5" t="s">
        <v>8</v>
      </c>
    </row>
  </sheetData>
  <mergeCells count="15">
    <mergeCell ref="A5:S5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37DC-7AF5-4FE4-8968-5A113256E3E6}">
  <dimension ref="A1:V13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9.5" style="5" bestFit="1" customWidth="1"/>
    <col min="4" max="4" width="21.5" style="5" bestFit="1" customWidth="1"/>
    <col min="5" max="5" width="10.5" style="5" bestFit="1" customWidth="1"/>
    <col min="6" max="6" width="18" style="5" customWidth="1"/>
    <col min="7" max="7" width="31.83203125" style="5" bestFit="1" customWidth="1"/>
    <col min="8" max="10" width="5.6640625" style="6" customWidth="1"/>
    <col min="11" max="11" width="4.83203125" style="6" customWidth="1"/>
    <col min="12" max="14" width="5.6640625" style="6" customWidth="1"/>
    <col min="15" max="15" width="4.83203125" style="6" customWidth="1"/>
    <col min="16" max="18" width="5.6640625" style="6" customWidth="1"/>
    <col min="19" max="19" width="4.83203125" style="6" customWidth="1"/>
    <col min="20" max="20" width="7.83203125" style="6" bestFit="1" customWidth="1"/>
    <col min="21" max="21" width="8.83203125" style="6" bestFit="1" customWidth="1"/>
    <col min="22" max="22" width="19.1640625" style="5" customWidth="1"/>
    <col min="23" max="16384" width="9.1640625" style="3"/>
  </cols>
  <sheetData>
    <row r="1" spans="1:22" s="2" customFormat="1" ht="29" customHeight="1">
      <c r="A1" s="56" t="s">
        <v>379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</row>
    <row r="2" spans="1:22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9</v>
      </c>
      <c r="I3" s="50"/>
      <c r="J3" s="50"/>
      <c r="K3" s="50"/>
      <c r="L3" s="50" t="s">
        <v>10</v>
      </c>
      <c r="M3" s="50"/>
      <c r="N3" s="50"/>
      <c r="O3" s="50"/>
      <c r="P3" s="50" t="s">
        <v>11</v>
      </c>
      <c r="Q3" s="50"/>
      <c r="R3" s="50"/>
      <c r="S3" s="50"/>
      <c r="T3" s="50" t="s">
        <v>1</v>
      </c>
      <c r="U3" s="50" t="s">
        <v>3</v>
      </c>
      <c r="V3" s="52" t="s">
        <v>2</v>
      </c>
    </row>
    <row r="4" spans="1:22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51"/>
      <c r="U4" s="51"/>
      <c r="V4" s="53"/>
    </row>
    <row r="5" spans="1:22" ht="16">
      <c r="A5" s="54" t="s">
        <v>125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2">
      <c r="A6" s="10" t="s">
        <v>77</v>
      </c>
      <c r="B6" s="9" t="s">
        <v>126</v>
      </c>
      <c r="C6" s="9" t="s">
        <v>127</v>
      </c>
      <c r="D6" s="9" t="s">
        <v>128</v>
      </c>
      <c r="E6" s="9" t="s">
        <v>423</v>
      </c>
      <c r="F6" s="9" t="s">
        <v>347</v>
      </c>
      <c r="G6" s="9" t="s">
        <v>129</v>
      </c>
      <c r="H6" s="19" t="s">
        <v>43</v>
      </c>
      <c r="I6" s="19" t="s">
        <v>105</v>
      </c>
      <c r="J6" s="20" t="s">
        <v>40</v>
      </c>
      <c r="K6" s="10"/>
      <c r="L6" s="19" t="s">
        <v>23</v>
      </c>
      <c r="M6" s="19" t="s">
        <v>24</v>
      </c>
      <c r="N6" s="20" t="s">
        <v>120</v>
      </c>
      <c r="O6" s="10"/>
      <c r="P6" s="19" t="s">
        <v>116</v>
      </c>
      <c r="Q6" s="19" t="s">
        <v>34</v>
      </c>
      <c r="R6" s="19" t="s">
        <v>130</v>
      </c>
      <c r="S6" s="10"/>
      <c r="T6" s="10" t="str">
        <f>"425,0"</f>
        <v>425,0</v>
      </c>
      <c r="U6" s="10" t="str">
        <f>"288,3625"</f>
        <v>288,3625</v>
      </c>
      <c r="V6" s="9" t="s">
        <v>349</v>
      </c>
    </row>
    <row r="7" spans="1:22">
      <c r="B7" s="5" t="s">
        <v>8</v>
      </c>
    </row>
    <row r="8" spans="1:22" ht="16">
      <c r="A8" s="46" t="s">
        <v>48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2">
      <c r="A9" s="10" t="s">
        <v>77</v>
      </c>
      <c r="B9" s="9" t="s">
        <v>131</v>
      </c>
      <c r="C9" s="9" t="s">
        <v>395</v>
      </c>
      <c r="D9" s="9" t="s">
        <v>132</v>
      </c>
      <c r="E9" s="9" t="s">
        <v>424</v>
      </c>
      <c r="F9" s="9" t="s">
        <v>133</v>
      </c>
      <c r="G9" s="9" t="s">
        <v>134</v>
      </c>
      <c r="H9" s="19" t="s">
        <v>35</v>
      </c>
      <c r="I9" s="19" t="s">
        <v>135</v>
      </c>
      <c r="J9" s="19" t="s">
        <v>136</v>
      </c>
      <c r="K9" s="10"/>
      <c r="L9" s="19" t="s">
        <v>41</v>
      </c>
      <c r="M9" s="19" t="s">
        <v>42</v>
      </c>
      <c r="N9" s="20" t="s">
        <v>124</v>
      </c>
      <c r="O9" s="10"/>
      <c r="P9" s="19" t="s">
        <v>35</v>
      </c>
      <c r="Q9" s="19" t="s">
        <v>136</v>
      </c>
      <c r="R9" s="19" t="s">
        <v>137</v>
      </c>
      <c r="S9" s="10"/>
      <c r="T9" s="10" t="str">
        <f>"725,0"</f>
        <v>725,0</v>
      </c>
      <c r="U9" s="10" t="str">
        <f>"449,6743"</f>
        <v>449,6743</v>
      </c>
      <c r="V9" s="9"/>
    </row>
    <row r="10" spans="1:22">
      <c r="B10" s="5" t="s">
        <v>8</v>
      </c>
    </row>
    <row r="11" spans="1:22" ht="16">
      <c r="A11" s="46" t="s">
        <v>138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22">
      <c r="A12" s="10" t="s">
        <v>77</v>
      </c>
      <c r="B12" s="9" t="s">
        <v>139</v>
      </c>
      <c r="C12" s="9" t="s">
        <v>396</v>
      </c>
      <c r="D12" s="9" t="s">
        <v>140</v>
      </c>
      <c r="E12" s="9" t="s">
        <v>425</v>
      </c>
      <c r="F12" s="9" t="s">
        <v>348</v>
      </c>
      <c r="G12" s="9" t="s">
        <v>141</v>
      </c>
      <c r="H12" s="19" t="s">
        <v>31</v>
      </c>
      <c r="I12" s="19" t="s">
        <v>35</v>
      </c>
      <c r="J12" s="20" t="s">
        <v>136</v>
      </c>
      <c r="K12" s="10"/>
      <c r="L12" s="19" t="s">
        <v>40</v>
      </c>
      <c r="M12" s="19" t="s">
        <v>34</v>
      </c>
      <c r="N12" s="20" t="s">
        <v>142</v>
      </c>
      <c r="O12" s="10"/>
      <c r="P12" s="19" t="s">
        <v>63</v>
      </c>
      <c r="Q12" s="19" t="s">
        <v>67</v>
      </c>
      <c r="R12" s="10"/>
      <c r="S12" s="10"/>
      <c r="T12" s="10" t="str">
        <f>"660,0"</f>
        <v>660,0</v>
      </c>
      <c r="U12" s="10" t="str">
        <f>"399,6815"</f>
        <v>399,6815</v>
      </c>
      <c r="V12" s="9" t="s">
        <v>359</v>
      </c>
    </row>
    <row r="13" spans="1:22">
      <c r="B13" s="5" t="s">
        <v>8</v>
      </c>
    </row>
  </sheetData>
  <mergeCells count="17"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A11:S11"/>
    <mergeCell ref="B3:B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5ECC-A548-4D43-B578-69BD6393C789}">
  <dimension ref="A1:R17"/>
  <sheetViews>
    <sheetView workbookViewId="0">
      <selection sqref="A1:R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6640625" style="5" bestFit="1" customWidth="1"/>
    <col min="7" max="7" width="39.5" style="5" bestFit="1" customWidth="1"/>
    <col min="8" max="10" width="5.6640625" style="6" customWidth="1"/>
    <col min="11" max="11" width="4.83203125" style="6" customWidth="1"/>
    <col min="12" max="14" width="5.6640625" style="6" customWidth="1"/>
    <col min="15" max="15" width="4.83203125" style="6" customWidth="1"/>
    <col min="16" max="16" width="7.83203125" style="6" bestFit="1" customWidth="1"/>
    <col min="17" max="17" width="8.83203125" style="6" bestFit="1" customWidth="1"/>
    <col min="18" max="18" width="16.5" style="5" customWidth="1"/>
    <col min="19" max="16384" width="9.1640625" style="3"/>
  </cols>
  <sheetData>
    <row r="1" spans="1:18" s="2" customFormat="1" ht="29" customHeight="1">
      <c r="A1" s="56" t="s">
        <v>380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18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18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10</v>
      </c>
      <c r="I3" s="50"/>
      <c r="J3" s="50"/>
      <c r="K3" s="50"/>
      <c r="L3" s="50" t="s">
        <v>11</v>
      </c>
      <c r="M3" s="50"/>
      <c r="N3" s="50"/>
      <c r="O3" s="50"/>
      <c r="P3" s="50" t="s">
        <v>1</v>
      </c>
      <c r="Q3" s="50" t="s">
        <v>3</v>
      </c>
      <c r="R3" s="52" t="s">
        <v>2</v>
      </c>
    </row>
    <row r="4" spans="1:18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51"/>
      <c r="Q4" s="51"/>
      <c r="R4" s="53"/>
    </row>
    <row r="5" spans="1:18" ht="16">
      <c r="A5" s="54" t="s">
        <v>79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8">
      <c r="A6" s="10" t="s">
        <v>77</v>
      </c>
      <c r="B6" s="9" t="s">
        <v>175</v>
      </c>
      <c r="C6" s="9" t="s">
        <v>176</v>
      </c>
      <c r="D6" s="9" t="s">
        <v>177</v>
      </c>
      <c r="E6" s="9" t="s">
        <v>423</v>
      </c>
      <c r="F6" s="9" t="s">
        <v>178</v>
      </c>
      <c r="G6" s="9" t="s">
        <v>317</v>
      </c>
      <c r="H6" s="19" t="s">
        <v>179</v>
      </c>
      <c r="I6" s="19" t="s">
        <v>17</v>
      </c>
      <c r="J6" s="19" t="s">
        <v>180</v>
      </c>
      <c r="K6" s="10"/>
      <c r="L6" s="20" t="s">
        <v>181</v>
      </c>
      <c r="M6" s="19" t="s">
        <v>181</v>
      </c>
      <c r="N6" s="20" t="s">
        <v>45</v>
      </c>
      <c r="O6" s="10"/>
      <c r="P6" s="10" t="str">
        <f>"185,0"</f>
        <v>185,0</v>
      </c>
      <c r="Q6" s="10" t="str">
        <f>"238,3725"</f>
        <v>238,3725</v>
      </c>
      <c r="R6" s="9" t="s">
        <v>350</v>
      </c>
    </row>
    <row r="7" spans="1:18">
      <c r="B7" s="5" t="s">
        <v>8</v>
      </c>
    </row>
    <row r="8" spans="1:18" ht="16">
      <c r="A8" s="46" t="s">
        <v>12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8">
      <c r="A9" s="12" t="s">
        <v>77</v>
      </c>
      <c r="B9" s="11" t="s">
        <v>314</v>
      </c>
      <c r="C9" s="11" t="s">
        <v>315</v>
      </c>
      <c r="D9" s="11" t="s">
        <v>316</v>
      </c>
      <c r="E9" s="11" t="s">
        <v>423</v>
      </c>
      <c r="F9" s="11" t="s">
        <v>418</v>
      </c>
      <c r="G9" s="11" t="s">
        <v>317</v>
      </c>
      <c r="H9" s="21" t="s">
        <v>120</v>
      </c>
      <c r="I9" s="21" t="s">
        <v>190</v>
      </c>
      <c r="J9" s="21" t="s">
        <v>181</v>
      </c>
      <c r="K9" s="12"/>
      <c r="L9" s="21" t="s">
        <v>41</v>
      </c>
      <c r="M9" s="21" t="s">
        <v>42</v>
      </c>
      <c r="N9" s="26" t="s">
        <v>318</v>
      </c>
      <c r="O9" s="12"/>
      <c r="P9" s="12" t="str">
        <f>"312,5"</f>
        <v>312,5</v>
      </c>
      <c r="Q9" s="12" t="str">
        <f>"231,9375"</f>
        <v>231,9375</v>
      </c>
      <c r="R9" s="11" t="s">
        <v>351</v>
      </c>
    </row>
    <row r="10" spans="1:18">
      <c r="A10" s="14" t="s">
        <v>78</v>
      </c>
      <c r="B10" s="13" t="s">
        <v>319</v>
      </c>
      <c r="C10" s="13" t="s">
        <v>320</v>
      </c>
      <c r="D10" s="13" t="s">
        <v>321</v>
      </c>
      <c r="E10" s="13" t="s">
        <v>423</v>
      </c>
      <c r="F10" s="13" t="s">
        <v>347</v>
      </c>
      <c r="G10" s="13" t="s">
        <v>322</v>
      </c>
      <c r="H10" s="22" t="s">
        <v>23</v>
      </c>
      <c r="I10" s="22" t="s">
        <v>24</v>
      </c>
      <c r="J10" s="22" t="s">
        <v>253</v>
      </c>
      <c r="K10" s="14"/>
      <c r="L10" s="22" t="s">
        <v>40</v>
      </c>
      <c r="M10" s="22" t="s">
        <v>34</v>
      </c>
      <c r="N10" s="23" t="s">
        <v>41</v>
      </c>
      <c r="O10" s="14"/>
      <c r="P10" s="14" t="str">
        <f>"275,0"</f>
        <v>275,0</v>
      </c>
      <c r="Q10" s="14" t="str">
        <f>"202,8125"</f>
        <v>202,8125</v>
      </c>
      <c r="R10" s="13" t="s">
        <v>352</v>
      </c>
    </row>
    <row r="11" spans="1:18">
      <c r="B11" s="5" t="s">
        <v>8</v>
      </c>
    </row>
    <row r="12" spans="1:18" ht="16">
      <c r="A12" s="46" t="s">
        <v>125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8">
      <c r="A13" s="10" t="s">
        <v>77</v>
      </c>
      <c r="B13" s="9" t="s">
        <v>323</v>
      </c>
      <c r="C13" s="9" t="s">
        <v>324</v>
      </c>
      <c r="D13" s="9" t="s">
        <v>325</v>
      </c>
      <c r="E13" s="9" t="s">
        <v>423</v>
      </c>
      <c r="F13" s="9" t="s">
        <v>347</v>
      </c>
      <c r="G13" s="9" t="s">
        <v>317</v>
      </c>
      <c r="H13" s="19" t="s">
        <v>120</v>
      </c>
      <c r="I13" s="19" t="s">
        <v>190</v>
      </c>
      <c r="J13" s="19" t="s">
        <v>43</v>
      </c>
      <c r="K13" s="10"/>
      <c r="L13" s="20" t="s">
        <v>130</v>
      </c>
      <c r="M13" s="19" t="s">
        <v>124</v>
      </c>
      <c r="N13" s="19" t="s">
        <v>318</v>
      </c>
      <c r="O13" s="10"/>
      <c r="P13" s="10" t="str">
        <f>"322,5"</f>
        <v>322,5</v>
      </c>
      <c r="Q13" s="10" t="str">
        <f>"222,4927"</f>
        <v>222,4927</v>
      </c>
      <c r="R13" s="9"/>
    </row>
    <row r="14" spans="1:18">
      <c r="B14" s="5" t="s">
        <v>8</v>
      </c>
    </row>
    <row r="15" spans="1:18" ht="16">
      <c r="A15" s="46" t="s">
        <v>37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8">
      <c r="A16" s="10" t="s">
        <v>77</v>
      </c>
      <c r="B16" s="9" t="s">
        <v>299</v>
      </c>
      <c r="C16" s="9" t="s">
        <v>300</v>
      </c>
      <c r="D16" s="9" t="s">
        <v>301</v>
      </c>
      <c r="E16" s="9" t="s">
        <v>423</v>
      </c>
      <c r="F16" s="9" t="s">
        <v>178</v>
      </c>
      <c r="G16" s="9" t="s">
        <v>317</v>
      </c>
      <c r="H16" s="19" t="s">
        <v>64</v>
      </c>
      <c r="I16" s="20" t="s">
        <v>116</v>
      </c>
      <c r="J16" s="20" t="s">
        <v>116</v>
      </c>
      <c r="K16" s="10"/>
      <c r="L16" s="19" t="s">
        <v>46</v>
      </c>
      <c r="M16" s="19" t="s">
        <v>123</v>
      </c>
      <c r="N16" s="20" t="s">
        <v>62</v>
      </c>
      <c r="O16" s="10"/>
      <c r="P16" s="10" t="str">
        <f>"352,5"</f>
        <v>352,5</v>
      </c>
      <c r="Q16" s="10" t="str">
        <f>"215,4128"</f>
        <v>215,4128</v>
      </c>
      <c r="R16" s="9"/>
    </row>
    <row r="17" spans="2:2">
      <c r="B17" s="5" t="s">
        <v>8</v>
      </c>
    </row>
  </sheetData>
  <mergeCells count="17">
    <mergeCell ref="Q3:Q4"/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8:O8"/>
    <mergeCell ref="A12:O12"/>
    <mergeCell ref="A15:O15"/>
    <mergeCell ref="B3:B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9A51-9E5E-4A87-9AE9-894951B97B61}">
  <dimension ref="A1:R10"/>
  <sheetViews>
    <sheetView workbookViewId="0">
      <selection sqref="A1:R2"/>
    </sheetView>
  </sheetViews>
  <sheetFormatPr baseColWidth="10" defaultColWidth="9.1640625" defaultRowHeight="13"/>
  <cols>
    <col min="1" max="1" width="7.5" style="5" bestFit="1" customWidth="1"/>
    <col min="2" max="2" width="16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40.1640625" style="5" customWidth="1"/>
    <col min="8" max="10" width="4.6640625" style="6" customWidth="1"/>
    <col min="11" max="11" width="4.83203125" style="6" customWidth="1"/>
    <col min="12" max="14" width="5.6640625" style="6" customWidth="1"/>
    <col min="15" max="15" width="4.83203125" style="6" customWidth="1"/>
    <col min="16" max="16" width="7.83203125" style="6" bestFit="1" customWidth="1"/>
    <col min="17" max="17" width="8.83203125" style="6" bestFit="1" customWidth="1"/>
    <col min="18" max="18" width="23.1640625" style="5" customWidth="1"/>
    <col min="19" max="16384" width="9.1640625" style="3"/>
  </cols>
  <sheetData>
    <row r="1" spans="1:18" s="2" customFormat="1" ht="29" customHeight="1">
      <c r="A1" s="56" t="s">
        <v>381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18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18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10</v>
      </c>
      <c r="I3" s="50"/>
      <c r="J3" s="50"/>
      <c r="K3" s="50"/>
      <c r="L3" s="50" t="s">
        <v>11</v>
      </c>
      <c r="M3" s="50"/>
      <c r="N3" s="50"/>
      <c r="O3" s="50"/>
      <c r="P3" s="50" t="s">
        <v>1</v>
      </c>
      <c r="Q3" s="50" t="s">
        <v>3</v>
      </c>
      <c r="R3" s="52" t="s">
        <v>2</v>
      </c>
    </row>
    <row r="4" spans="1:18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51"/>
      <c r="Q4" s="51"/>
      <c r="R4" s="53"/>
    </row>
    <row r="5" spans="1:18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8">
      <c r="A6" s="10" t="s">
        <v>77</v>
      </c>
      <c r="B6" s="9" t="s">
        <v>248</v>
      </c>
      <c r="C6" s="9" t="s">
        <v>249</v>
      </c>
      <c r="D6" s="9" t="s">
        <v>250</v>
      </c>
      <c r="E6" s="9" t="s">
        <v>423</v>
      </c>
      <c r="F6" s="9" t="s">
        <v>418</v>
      </c>
      <c r="G6" s="9" t="s">
        <v>353</v>
      </c>
      <c r="H6" s="19" t="s">
        <v>173</v>
      </c>
      <c r="I6" s="20" t="s">
        <v>96</v>
      </c>
      <c r="J6" s="20" t="s">
        <v>96</v>
      </c>
      <c r="K6" s="10"/>
      <c r="L6" s="19" t="s">
        <v>22</v>
      </c>
      <c r="M6" s="19" t="s">
        <v>89</v>
      </c>
      <c r="N6" s="19" t="s">
        <v>115</v>
      </c>
      <c r="O6" s="10"/>
      <c r="P6" s="10" t="str">
        <f>"132,5"</f>
        <v>132,5</v>
      </c>
      <c r="Q6" s="10" t="str">
        <f>"129,6910"</f>
        <v>129,6910</v>
      </c>
      <c r="R6" s="9" t="s">
        <v>354</v>
      </c>
    </row>
    <row r="7" spans="1:18">
      <c r="B7" s="5" t="s">
        <v>8</v>
      </c>
    </row>
    <row r="8" spans="1:18" ht="16">
      <c r="A8" s="46" t="s">
        <v>125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8">
      <c r="A9" s="10" t="s">
        <v>77</v>
      </c>
      <c r="B9" s="9" t="s">
        <v>259</v>
      </c>
      <c r="C9" s="9" t="s">
        <v>260</v>
      </c>
      <c r="D9" s="9" t="s">
        <v>207</v>
      </c>
      <c r="E9" s="9" t="s">
        <v>423</v>
      </c>
      <c r="F9" s="9" t="s">
        <v>418</v>
      </c>
      <c r="G9" s="9" t="s">
        <v>353</v>
      </c>
      <c r="H9" s="19" t="s">
        <v>85</v>
      </c>
      <c r="I9" s="19" t="s">
        <v>97</v>
      </c>
      <c r="J9" s="19" t="s">
        <v>88</v>
      </c>
      <c r="K9" s="10"/>
      <c r="L9" s="19" t="s">
        <v>113</v>
      </c>
      <c r="M9" s="20" t="s">
        <v>110</v>
      </c>
      <c r="N9" s="20" t="s">
        <v>110</v>
      </c>
      <c r="O9" s="10"/>
      <c r="P9" s="10" t="str">
        <f>"207,5"</f>
        <v>207,5</v>
      </c>
      <c r="Q9" s="10" t="str">
        <f>"140,5605"</f>
        <v>140,5605</v>
      </c>
      <c r="R9" s="9" t="s">
        <v>354</v>
      </c>
    </row>
    <row r="10" spans="1:18">
      <c r="B10" s="5" t="s">
        <v>8</v>
      </c>
    </row>
  </sheetData>
  <mergeCells count="15"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8:O8"/>
    <mergeCell ref="B3:B4"/>
    <mergeCell ref="P3:P4"/>
    <mergeCell ref="Q3:Q4"/>
    <mergeCell ref="R3:R4"/>
    <mergeCell ref="A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DB94-6F21-4E32-9C3E-D01C388A87BD}">
  <dimension ref="A1:R7"/>
  <sheetViews>
    <sheetView workbookViewId="0">
      <selection sqref="A1:R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33203125" style="5" customWidth="1"/>
    <col min="7" max="7" width="30.83203125" style="5" bestFit="1" customWidth="1"/>
    <col min="8" max="8" width="4.6640625" style="6" customWidth="1"/>
    <col min="9" max="10" width="5.6640625" style="6" customWidth="1"/>
    <col min="11" max="11" width="4.83203125" style="6" customWidth="1"/>
    <col min="12" max="14" width="5.6640625" style="6" customWidth="1"/>
    <col min="15" max="15" width="4.83203125" style="6" customWidth="1"/>
    <col min="16" max="16" width="7.83203125" style="6" bestFit="1" customWidth="1"/>
    <col min="17" max="17" width="8.83203125" style="6" bestFit="1" customWidth="1"/>
    <col min="18" max="18" width="20" style="5" customWidth="1"/>
    <col min="19" max="16384" width="9.1640625" style="3"/>
  </cols>
  <sheetData>
    <row r="1" spans="1:18" s="2" customFormat="1" ht="29" customHeight="1">
      <c r="A1" s="56" t="s">
        <v>382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18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18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10</v>
      </c>
      <c r="I3" s="50"/>
      <c r="J3" s="50"/>
      <c r="K3" s="50"/>
      <c r="L3" s="50" t="s">
        <v>11</v>
      </c>
      <c r="M3" s="50"/>
      <c r="N3" s="50"/>
      <c r="O3" s="50"/>
      <c r="P3" s="50" t="s">
        <v>1</v>
      </c>
      <c r="Q3" s="50" t="s">
        <v>3</v>
      </c>
      <c r="R3" s="52" t="s">
        <v>2</v>
      </c>
    </row>
    <row r="4" spans="1:18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51"/>
      <c r="Q4" s="51"/>
      <c r="R4" s="53"/>
    </row>
    <row r="5" spans="1:18" ht="16">
      <c r="A5" s="54" t="s">
        <v>125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8">
      <c r="A6" s="10" t="s">
        <v>77</v>
      </c>
      <c r="B6" s="9" t="s">
        <v>126</v>
      </c>
      <c r="C6" s="9" t="s">
        <v>127</v>
      </c>
      <c r="D6" s="9" t="s">
        <v>128</v>
      </c>
      <c r="E6" s="9" t="s">
        <v>423</v>
      </c>
      <c r="F6" s="9" t="s">
        <v>347</v>
      </c>
      <c r="G6" s="9" t="s">
        <v>129</v>
      </c>
      <c r="H6" s="19" t="s">
        <v>23</v>
      </c>
      <c r="I6" s="19" t="s">
        <v>24</v>
      </c>
      <c r="J6" s="20" t="s">
        <v>120</v>
      </c>
      <c r="K6" s="10"/>
      <c r="L6" s="19" t="s">
        <v>116</v>
      </c>
      <c r="M6" s="19" t="s">
        <v>34</v>
      </c>
      <c r="N6" s="19" t="s">
        <v>130</v>
      </c>
      <c r="O6" s="10"/>
      <c r="P6" s="10" t="str">
        <f>"285,0"</f>
        <v>285,0</v>
      </c>
      <c r="Q6" s="10" t="str">
        <f>"193,3725"</f>
        <v>193,3725</v>
      </c>
      <c r="R6" s="9" t="s">
        <v>349</v>
      </c>
    </row>
    <row r="7" spans="1:18">
      <c r="B7" s="5" t="s">
        <v>8</v>
      </c>
    </row>
  </sheetData>
  <mergeCells count="14">
    <mergeCell ref="A5:O5"/>
    <mergeCell ref="B3:B4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8CA0-8F51-4944-B791-C1C9E36C4571}">
  <dimension ref="A1:N51"/>
  <sheetViews>
    <sheetView topLeftCell="A16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.5" style="5" bestFit="1" customWidth="1"/>
    <col min="4" max="4" width="21.5" style="5" bestFit="1" customWidth="1"/>
    <col min="5" max="5" width="12.83203125" style="5" customWidth="1"/>
    <col min="6" max="6" width="18" style="5" customWidth="1"/>
    <col min="7" max="7" width="39.33203125" style="5" customWidth="1"/>
    <col min="8" max="10" width="5.6640625" style="6" customWidth="1"/>
    <col min="11" max="11" width="4.83203125" style="6" customWidth="1"/>
    <col min="12" max="12" width="10.5" style="6" bestFit="1" customWidth="1"/>
    <col min="13" max="13" width="8.83203125" style="6" bestFit="1" customWidth="1"/>
    <col min="14" max="14" width="23.1640625" style="5" customWidth="1"/>
    <col min="15" max="16384" width="9.1640625" style="3"/>
  </cols>
  <sheetData>
    <row r="1" spans="1:14" s="2" customFormat="1" ht="29" customHeight="1">
      <c r="A1" s="56" t="s">
        <v>383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10</v>
      </c>
      <c r="I3" s="50"/>
      <c r="J3" s="50"/>
      <c r="K3" s="50"/>
      <c r="L3" s="50" t="s">
        <v>169</v>
      </c>
      <c r="M3" s="50" t="s">
        <v>3</v>
      </c>
      <c r="N3" s="52" t="s">
        <v>2</v>
      </c>
    </row>
    <row r="4" spans="1:14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51"/>
      <c r="M4" s="51"/>
      <c r="N4" s="53"/>
    </row>
    <row r="5" spans="1:14" ht="16">
      <c r="A5" s="54" t="s">
        <v>170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10" t="s">
        <v>77</v>
      </c>
      <c r="B6" s="9" t="s">
        <v>171</v>
      </c>
      <c r="C6" s="9" t="s">
        <v>397</v>
      </c>
      <c r="D6" s="9" t="s">
        <v>172</v>
      </c>
      <c r="E6" s="9" t="s">
        <v>425</v>
      </c>
      <c r="F6" s="9" t="s">
        <v>347</v>
      </c>
      <c r="G6" s="9" t="s">
        <v>362</v>
      </c>
      <c r="H6" s="19" t="s">
        <v>173</v>
      </c>
      <c r="I6" s="19" t="s">
        <v>96</v>
      </c>
      <c r="J6" s="19" t="s">
        <v>174</v>
      </c>
      <c r="K6" s="10"/>
      <c r="L6" s="10" t="str">
        <f>"42,5"</f>
        <v>42,5</v>
      </c>
      <c r="M6" s="10" t="str">
        <f>"66,4110"</f>
        <v>66,4110</v>
      </c>
      <c r="N6" s="9" t="s">
        <v>364</v>
      </c>
    </row>
    <row r="7" spans="1:14">
      <c r="B7" s="5" t="s">
        <v>8</v>
      </c>
    </row>
    <row r="8" spans="1:14" ht="16">
      <c r="A8" s="46" t="s">
        <v>79</v>
      </c>
      <c r="B8" s="46"/>
      <c r="C8" s="47"/>
      <c r="D8" s="47"/>
      <c r="E8" s="47"/>
      <c r="F8" s="47"/>
      <c r="G8" s="47"/>
      <c r="H8" s="47"/>
      <c r="I8" s="47"/>
      <c r="J8" s="47"/>
      <c r="K8" s="47"/>
    </row>
    <row r="9" spans="1:14">
      <c r="A9" s="12" t="s">
        <v>77</v>
      </c>
      <c r="B9" s="11" t="s">
        <v>80</v>
      </c>
      <c r="C9" s="11" t="s">
        <v>81</v>
      </c>
      <c r="D9" s="11" t="s">
        <v>82</v>
      </c>
      <c r="E9" s="11" t="s">
        <v>422</v>
      </c>
      <c r="F9" s="11" t="s">
        <v>348</v>
      </c>
      <c r="G9" s="11" t="s">
        <v>83</v>
      </c>
      <c r="H9" s="21" t="s">
        <v>19</v>
      </c>
      <c r="I9" s="21" t="s">
        <v>86</v>
      </c>
      <c r="J9" s="21" t="s">
        <v>87</v>
      </c>
      <c r="K9" s="12"/>
      <c r="L9" s="12" t="str">
        <f>"50,0"</f>
        <v>50,0</v>
      </c>
      <c r="M9" s="12" t="str">
        <f>"63,3650"</f>
        <v>63,3650</v>
      </c>
      <c r="N9" s="11" t="s">
        <v>365</v>
      </c>
    </row>
    <row r="10" spans="1:14">
      <c r="A10" s="25" t="s">
        <v>77</v>
      </c>
      <c r="B10" s="24" t="s">
        <v>175</v>
      </c>
      <c r="C10" s="24" t="s">
        <v>176</v>
      </c>
      <c r="D10" s="24" t="s">
        <v>177</v>
      </c>
      <c r="E10" s="24" t="s">
        <v>423</v>
      </c>
      <c r="F10" s="24" t="s">
        <v>178</v>
      </c>
      <c r="G10" s="24" t="s">
        <v>353</v>
      </c>
      <c r="H10" s="27" t="s">
        <v>179</v>
      </c>
      <c r="I10" s="27" t="s">
        <v>17</v>
      </c>
      <c r="J10" s="27" t="s">
        <v>180</v>
      </c>
      <c r="K10" s="25"/>
      <c r="L10" s="25" t="str">
        <f>"62,5"</f>
        <v>62,5</v>
      </c>
      <c r="M10" s="25" t="str">
        <f>"80,5312"</f>
        <v>80,5312</v>
      </c>
      <c r="N10" s="24" t="s">
        <v>350</v>
      </c>
    </row>
    <row r="11" spans="1:14">
      <c r="A11" s="14" t="s">
        <v>78</v>
      </c>
      <c r="B11" s="13" t="s">
        <v>98</v>
      </c>
      <c r="C11" s="13" t="s">
        <v>99</v>
      </c>
      <c r="D11" s="13" t="s">
        <v>100</v>
      </c>
      <c r="E11" s="13" t="s">
        <v>423</v>
      </c>
      <c r="F11" s="13" t="s">
        <v>348</v>
      </c>
      <c r="G11" s="13" t="s">
        <v>29</v>
      </c>
      <c r="H11" s="22" t="s">
        <v>86</v>
      </c>
      <c r="I11" s="22" t="s">
        <v>87</v>
      </c>
      <c r="J11" s="23" t="s">
        <v>20</v>
      </c>
      <c r="K11" s="14"/>
      <c r="L11" s="14" t="str">
        <f>"50,0"</f>
        <v>50,0</v>
      </c>
      <c r="M11" s="14" t="str">
        <f>"63,2700"</f>
        <v>63,2700</v>
      </c>
      <c r="N11" s="13"/>
    </row>
    <row r="12" spans="1:14">
      <c r="B12" s="5" t="s">
        <v>8</v>
      </c>
    </row>
    <row r="13" spans="1:14" ht="16">
      <c r="A13" s="46" t="s">
        <v>182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</row>
    <row r="14" spans="1:14">
      <c r="A14" s="10" t="s">
        <v>77</v>
      </c>
      <c r="B14" s="9" t="s">
        <v>183</v>
      </c>
      <c r="C14" s="9" t="s">
        <v>184</v>
      </c>
      <c r="D14" s="9" t="s">
        <v>185</v>
      </c>
      <c r="E14" s="9" t="s">
        <v>423</v>
      </c>
      <c r="F14" s="9" t="s">
        <v>348</v>
      </c>
      <c r="G14" s="9" t="s">
        <v>362</v>
      </c>
      <c r="H14" s="19" t="s">
        <v>22</v>
      </c>
      <c r="I14" s="19" t="s">
        <v>23</v>
      </c>
      <c r="J14" s="19" t="s">
        <v>186</v>
      </c>
      <c r="K14" s="10"/>
      <c r="L14" s="10" t="str">
        <f>"92,5"</f>
        <v>92,5</v>
      </c>
      <c r="M14" s="10" t="str">
        <f>"86,3395"</f>
        <v>86,3395</v>
      </c>
      <c r="N14" s="9" t="s">
        <v>364</v>
      </c>
    </row>
    <row r="15" spans="1:14">
      <c r="B15" s="5" t="s">
        <v>8</v>
      </c>
    </row>
    <row r="16" spans="1:14" ht="16">
      <c r="A16" s="46" t="s">
        <v>12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</row>
    <row r="17" spans="1:14">
      <c r="A17" s="12" t="s">
        <v>77</v>
      </c>
      <c r="B17" s="11" t="s">
        <v>187</v>
      </c>
      <c r="C17" s="11" t="s">
        <v>188</v>
      </c>
      <c r="D17" s="11" t="s">
        <v>189</v>
      </c>
      <c r="E17" s="11" t="s">
        <v>422</v>
      </c>
      <c r="F17" s="11" t="s">
        <v>348</v>
      </c>
      <c r="G17" s="11" t="s">
        <v>16</v>
      </c>
      <c r="H17" s="21" t="s">
        <v>120</v>
      </c>
      <c r="I17" s="21" t="s">
        <v>190</v>
      </c>
      <c r="J17" s="26" t="s">
        <v>43</v>
      </c>
      <c r="K17" s="12"/>
      <c r="L17" s="12" t="str">
        <f>"117,5"</f>
        <v>117,5</v>
      </c>
      <c r="M17" s="12" t="str">
        <f>"84,2827"</f>
        <v>84,2827</v>
      </c>
      <c r="N17" s="11" t="s">
        <v>366</v>
      </c>
    </row>
    <row r="18" spans="1:14">
      <c r="A18" s="25" t="s">
        <v>77</v>
      </c>
      <c r="B18" s="24" t="s">
        <v>191</v>
      </c>
      <c r="C18" s="24" t="s">
        <v>398</v>
      </c>
      <c r="D18" s="24" t="s">
        <v>192</v>
      </c>
      <c r="E18" s="24" t="s">
        <v>426</v>
      </c>
      <c r="F18" s="24" t="s">
        <v>348</v>
      </c>
      <c r="G18" s="24" t="s">
        <v>353</v>
      </c>
      <c r="H18" s="27" t="s">
        <v>44</v>
      </c>
      <c r="I18" s="28" t="s">
        <v>45</v>
      </c>
      <c r="J18" s="28" t="s">
        <v>45</v>
      </c>
      <c r="K18" s="25"/>
      <c r="L18" s="25" t="str">
        <f>"130,0"</f>
        <v>130,0</v>
      </c>
      <c r="M18" s="25" t="str">
        <f>"93,8730"</f>
        <v>93,8730</v>
      </c>
      <c r="N18" s="24" t="s">
        <v>367</v>
      </c>
    </row>
    <row r="19" spans="1:14">
      <c r="A19" s="25" t="s">
        <v>77</v>
      </c>
      <c r="B19" s="24" t="s">
        <v>193</v>
      </c>
      <c r="C19" s="24" t="s">
        <v>194</v>
      </c>
      <c r="D19" s="24" t="s">
        <v>195</v>
      </c>
      <c r="E19" s="24" t="s">
        <v>423</v>
      </c>
      <c r="F19" s="24" t="s">
        <v>133</v>
      </c>
      <c r="G19" s="24" t="s">
        <v>134</v>
      </c>
      <c r="H19" s="28" t="s">
        <v>106</v>
      </c>
      <c r="I19" s="27" t="s">
        <v>106</v>
      </c>
      <c r="J19" s="27" t="s">
        <v>117</v>
      </c>
      <c r="K19" s="25"/>
      <c r="L19" s="25" t="str">
        <f>"155,0"</f>
        <v>155,0</v>
      </c>
      <c r="M19" s="25" t="str">
        <f>"113,1500"</f>
        <v>113,1500</v>
      </c>
      <c r="N19" s="24"/>
    </row>
    <row r="20" spans="1:14">
      <c r="A20" s="25" t="s">
        <v>78</v>
      </c>
      <c r="B20" s="24" t="s">
        <v>196</v>
      </c>
      <c r="C20" s="24" t="s">
        <v>197</v>
      </c>
      <c r="D20" s="24" t="s">
        <v>198</v>
      </c>
      <c r="E20" s="24" t="s">
        <v>423</v>
      </c>
      <c r="F20" s="24" t="s">
        <v>178</v>
      </c>
      <c r="G20" s="24" t="s">
        <v>353</v>
      </c>
      <c r="H20" s="27" t="s">
        <v>199</v>
      </c>
      <c r="I20" s="27" t="s">
        <v>45</v>
      </c>
      <c r="J20" s="28" t="s">
        <v>105</v>
      </c>
      <c r="K20" s="25"/>
      <c r="L20" s="25" t="str">
        <f>"135,0"</f>
        <v>135,0</v>
      </c>
      <c r="M20" s="25" t="str">
        <f>"96,7410"</f>
        <v>96,7410</v>
      </c>
      <c r="N20" s="24" t="s">
        <v>350</v>
      </c>
    </row>
    <row r="21" spans="1:14">
      <c r="A21" s="25" t="s">
        <v>241</v>
      </c>
      <c r="B21" s="24" t="s">
        <v>200</v>
      </c>
      <c r="C21" s="24" t="s">
        <v>201</v>
      </c>
      <c r="D21" s="24" t="s">
        <v>202</v>
      </c>
      <c r="E21" s="24" t="s">
        <v>423</v>
      </c>
      <c r="F21" s="24" t="s">
        <v>348</v>
      </c>
      <c r="G21" s="24" t="s">
        <v>353</v>
      </c>
      <c r="H21" s="27" t="s">
        <v>121</v>
      </c>
      <c r="I21" s="27" t="s">
        <v>190</v>
      </c>
      <c r="J21" s="27" t="s">
        <v>43</v>
      </c>
      <c r="K21" s="25"/>
      <c r="L21" s="25" t="str">
        <f>"120,0"</f>
        <v>120,0</v>
      </c>
      <c r="M21" s="25" t="str">
        <f>"87,0720"</f>
        <v>87,0720</v>
      </c>
      <c r="N21" s="24"/>
    </row>
    <row r="22" spans="1:14">
      <c r="A22" s="14" t="s">
        <v>77</v>
      </c>
      <c r="B22" s="13" t="s">
        <v>203</v>
      </c>
      <c r="C22" s="13" t="s">
        <v>399</v>
      </c>
      <c r="D22" s="13" t="s">
        <v>204</v>
      </c>
      <c r="E22" s="13" t="s">
        <v>424</v>
      </c>
      <c r="F22" s="13" t="s">
        <v>348</v>
      </c>
      <c r="G22" s="13" t="s">
        <v>353</v>
      </c>
      <c r="H22" s="22" t="s">
        <v>120</v>
      </c>
      <c r="I22" s="22" t="s">
        <v>121</v>
      </c>
      <c r="J22" s="22" t="s">
        <v>190</v>
      </c>
      <c r="K22" s="14"/>
      <c r="L22" s="14" t="str">
        <f>"117,5"</f>
        <v>117,5</v>
      </c>
      <c r="M22" s="14" t="str">
        <f>"88,0545"</f>
        <v>88,0545</v>
      </c>
      <c r="N22" s="13"/>
    </row>
    <row r="23" spans="1:14">
      <c r="B23" s="5" t="s">
        <v>8</v>
      </c>
    </row>
    <row r="24" spans="1:14" ht="16">
      <c r="A24" s="46" t="s">
        <v>125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</row>
    <row r="25" spans="1:14">
      <c r="A25" s="12" t="s">
        <v>77</v>
      </c>
      <c r="B25" s="11" t="s">
        <v>205</v>
      </c>
      <c r="C25" s="11" t="s">
        <v>206</v>
      </c>
      <c r="D25" s="11" t="s">
        <v>207</v>
      </c>
      <c r="E25" s="11" t="s">
        <v>423</v>
      </c>
      <c r="F25" s="11" t="s">
        <v>348</v>
      </c>
      <c r="G25" s="11" t="s">
        <v>353</v>
      </c>
      <c r="H25" s="21" t="s">
        <v>43</v>
      </c>
      <c r="I25" s="21" t="s">
        <v>199</v>
      </c>
      <c r="J25" s="21" t="s">
        <v>45</v>
      </c>
      <c r="K25" s="12"/>
      <c r="L25" s="12" t="str">
        <f>"135,0"</f>
        <v>135,0</v>
      </c>
      <c r="M25" s="12" t="str">
        <f>"91,4490"</f>
        <v>91,4490</v>
      </c>
      <c r="N25" s="11"/>
    </row>
    <row r="26" spans="1:14">
      <c r="A26" s="14" t="s">
        <v>77</v>
      </c>
      <c r="B26" s="13" t="s">
        <v>208</v>
      </c>
      <c r="C26" s="13" t="s">
        <v>400</v>
      </c>
      <c r="D26" s="13" t="s">
        <v>209</v>
      </c>
      <c r="E26" s="13" t="s">
        <v>425</v>
      </c>
      <c r="F26" s="13" t="s">
        <v>210</v>
      </c>
      <c r="G26" s="13" t="s">
        <v>353</v>
      </c>
      <c r="H26" s="22" t="s">
        <v>45</v>
      </c>
      <c r="I26" s="23" t="s">
        <v>105</v>
      </c>
      <c r="J26" s="23" t="s">
        <v>105</v>
      </c>
      <c r="K26" s="14"/>
      <c r="L26" s="14" t="str">
        <f>"135,0"</f>
        <v>135,0</v>
      </c>
      <c r="M26" s="14" t="str">
        <f>"99,7842"</f>
        <v>99,7842</v>
      </c>
      <c r="N26" s="13"/>
    </row>
    <row r="27" spans="1:14">
      <c r="B27" s="5" t="s">
        <v>8</v>
      </c>
    </row>
    <row r="28" spans="1:14" ht="16">
      <c r="A28" s="46" t="s">
        <v>25</v>
      </c>
      <c r="B28" s="46"/>
      <c r="C28" s="47"/>
      <c r="D28" s="47"/>
      <c r="E28" s="47"/>
      <c r="F28" s="47"/>
      <c r="G28" s="47"/>
      <c r="H28" s="47"/>
      <c r="I28" s="47"/>
      <c r="J28" s="47"/>
      <c r="K28" s="47"/>
    </row>
    <row r="29" spans="1:14">
      <c r="A29" s="12" t="s">
        <v>77</v>
      </c>
      <c r="B29" s="11" t="s">
        <v>211</v>
      </c>
      <c r="C29" s="11" t="s">
        <v>212</v>
      </c>
      <c r="D29" s="11" t="s">
        <v>28</v>
      </c>
      <c r="E29" s="11" t="s">
        <v>423</v>
      </c>
      <c r="F29" s="11" t="s">
        <v>348</v>
      </c>
      <c r="G29" s="11" t="s">
        <v>353</v>
      </c>
      <c r="H29" s="21" t="s">
        <v>64</v>
      </c>
      <c r="I29" s="21" t="s">
        <v>65</v>
      </c>
      <c r="J29" s="26" t="s">
        <v>117</v>
      </c>
      <c r="K29" s="12"/>
      <c r="L29" s="12" t="str">
        <f>"152,5"</f>
        <v>152,5</v>
      </c>
      <c r="M29" s="12" t="str">
        <f>"98,0880"</f>
        <v>98,0880</v>
      </c>
      <c r="N29" s="11" t="s">
        <v>367</v>
      </c>
    </row>
    <row r="30" spans="1:14">
      <c r="A30" s="25" t="s">
        <v>78</v>
      </c>
      <c r="B30" s="24" t="s">
        <v>213</v>
      </c>
      <c r="C30" s="24" t="s">
        <v>214</v>
      </c>
      <c r="D30" s="24" t="s">
        <v>215</v>
      </c>
      <c r="E30" s="24" t="s">
        <v>423</v>
      </c>
      <c r="F30" s="24" t="s">
        <v>348</v>
      </c>
      <c r="G30" s="24" t="s">
        <v>353</v>
      </c>
      <c r="H30" s="27" t="s">
        <v>45</v>
      </c>
      <c r="I30" s="27" t="s">
        <v>64</v>
      </c>
      <c r="J30" s="28" t="s">
        <v>65</v>
      </c>
      <c r="K30" s="25"/>
      <c r="L30" s="25" t="str">
        <f>"145,0"</f>
        <v>145,0</v>
      </c>
      <c r="M30" s="25" t="str">
        <f>"93,9455"</f>
        <v>93,9455</v>
      </c>
      <c r="N30" s="24"/>
    </row>
    <row r="31" spans="1:14">
      <c r="A31" s="25" t="s">
        <v>241</v>
      </c>
      <c r="B31" s="24" t="s">
        <v>216</v>
      </c>
      <c r="C31" s="24" t="s">
        <v>217</v>
      </c>
      <c r="D31" s="24" t="s">
        <v>218</v>
      </c>
      <c r="E31" s="24" t="s">
        <v>423</v>
      </c>
      <c r="F31" s="24" t="s">
        <v>347</v>
      </c>
      <c r="G31" s="24" t="s">
        <v>353</v>
      </c>
      <c r="H31" s="27" t="s">
        <v>113</v>
      </c>
      <c r="I31" s="28" t="s">
        <v>199</v>
      </c>
      <c r="J31" s="28" t="s">
        <v>199</v>
      </c>
      <c r="K31" s="25"/>
      <c r="L31" s="25" t="str">
        <f>"125,0"</f>
        <v>125,0</v>
      </c>
      <c r="M31" s="25" t="str">
        <f>"81,7000"</f>
        <v>81,7000</v>
      </c>
      <c r="N31" s="24"/>
    </row>
    <row r="32" spans="1:14">
      <c r="A32" s="14" t="s">
        <v>77</v>
      </c>
      <c r="B32" s="13" t="s">
        <v>219</v>
      </c>
      <c r="C32" s="13" t="s">
        <v>401</v>
      </c>
      <c r="D32" s="13" t="s">
        <v>220</v>
      </c>
      <c r="E32" s="13" t="s">
        <v>425</v>
      </c>
      <c r="F32" s="13" t="s">
        <v>347</v>
      </c>
      <c r="G32" s="13" t="s">
        <v>353</v>
      </c>
      <c r="H32" s="23" t="s">
        <v>113</v>
      </c>
      <c r="I32" s="22" t="s">
        <v>113</v>
      </c>
      <c r="J32" s="23" t="s">
        <v>110</v>
      </c>
      <c r="K32" s="14"/>
      <c r="L32" s="14" t="str">
        <f>"125,0"</f>
        <v>125,0</v>
      </c>
      <c r="M32" s="14" t="str">
        <f>"85,1710"</f>
        <v>85,1710</v>
      </c>
      <c r="N32" s="13"/>
    </row>
    <row r="33" spans="1:14">
      <c r="B33" s="5" t="s">
        <v>8</v>
      </c>
    </row>
    <row r="34" spans="1:14" ht="16">
      <c r="A34" s="46" t="s">
        <v>37</v>
      </c>
      <c r="B34" s="46"/>
      <c r="C34" s="47"/>
      <c r="D34" s="47"/>
      <c r="E34" s="47"/>
      <c r="F34" s="47"/>
      <c r="G34" s="47"/>
      <c r="H34" s="47"/>
      <c r="I34" s="47"/>
      <c r="J34" s="47"/>
      <c r="K34" s="47"/>
    </row>
    <row r="35" spans="1:14">
      <c r="A35" s="12" t="s">
        <v>77</v>
      </c>
      <c r="B35" s="11" t="s">
        <v>221</v>
      </c>
      <c r="C35" s="11" t="s">
        <v>222</v>
      </c>
      <c r="D35" s="11" t="s">
        <v>223</v>
      </c>
      <c r="E35" s="11" t="s">
        <v>423</v>
      </c>
      <c r="F35" s="11" t="s">
        <v>348</v>
      </c>
      <c r="G35" s="11" t="s">
        <v>224</v>
      </c>
      <c r="H35" s="21" t="s">
        <v>130</v>
      </c>
      <c r="I35" s="21" t="s">
        <v>124</v>
      </c>
      <c r="J35" s="26" t="s">
        <v>46</v>
      </c>
      <c r="K35" s="12"/>
      <c r="L35" s="12" t="str">
        <f>"195,0"</f>
        <v>195,0</v>
      </c>
      <c r="M35" s="12" t="str">
        <f>"120,5100"</f>
        <v>120,5100</v>
      </c>
      <c r="N35" s="11"/>
    </row>
    <row r="36" spans="1:14">
      <c r="A36" s="14" t="s">
        <v>78</v>
      </c>
      <c r="B36" s="13" t="s">
        <v>225</v>
      </c>
      <c r="C36" s="13" t="s">
        <v>226</v>
      </c>
      <c r="D36" s="13" t="s">
        <v>227</v>
      </c>
      <c r="E36" s="13" t="s">
        <v>423</v>
      </c>
      <c r="F36" s="13" t="s">
        <v>133</v>
      </c>
      <c r="G36" s="13" t="s">
        <v>134</v>
      </c>
      <c r="H36" s="22" t="s">
        <v>228</v>
      </c>
      <c r="I36" s="23" t="s">
        <v>130</v>
      </c>
      <c r="J36" s="23" t="s">
        <v>130</v>
      </c>
      <c r="K36" s="14"/>
      <c r="L36" s="14" t="str">
        <f>"177,5"</f>
        <v>177,5</v>
      </c>
      <c r="M36" s="14" t="str">
        <f>"108,3283"</f>
        <v>108,3283</v>
      </c>
      <c r="N36" s="13"/>
    </row>
    <row r="37" spans="1:14">
      <c r="B37" s="5" t="s">
        <v>8</v>
      </c>
    </row>
    <row r="38" spans="1:14" ht="16">
      <c r="A38" s="46" t="s">
        <v>138</v>
      </c>
      <c r="B38" s="46"/>
      <c r="C38" s="47"/>
      <c r="D38" s="47"/>
      <c r="E38" s="47"/>
      <c r="F38" s="47"/>
      <c r="G38" s="47"/>
      <c r="H38" s="47"/>
      <c r="I38" s="47"/>
      <c r="J38" s="47"/>
      <c r="K38" s="47"/>
    </row>
    <row r="39" spans="1:14">
      <c r="A39" s="12" t="s">
        <v>77</v>
      </c>
      <c r="B39" s="11" t="s">
        <v>229</v>
      </c>
      <c r="C39" s="11" t="s">
        <v>230</v>
      </c>
      <c r="D39" s="11" t="s">
        <v>231</v>
      </c>
      <c r="E39" s="11" t="s">
        <v>423</v>
      </c>
      <c r="F39" s="11" t="s">
        <v>348</v>
      </c>
      <c r="G39" s="11" t="s">
        <v>353</v>
      </c>
      <c r="H39" s="21" t="s">
        <v>130</v>
      </c>
      <c r="I39" s="26" t="s">
        <v>42</v>
      </c>
      <c r="J39" s="26" t="s">
        <v>42</v>
      </c>
      <c r="K39" s="12"/>
      <c r="L39" s="12" t="str">
        <f>"185,0"</f>
        <v>185,0</v>
      </c>
      <c r="M39" s="12" t="str">
        <f>"107,5960"</f>
        <v>107,5960</v>
      </c>
      <c r="N39" s="11"/>
    </row>
    <row r="40" spans="1:14">
      <c r="A40" s="25" t="s">
        <v>78</v>
      </c>
      <c r="B40" s="24" t="s">
        <v>232</v>
      </c>
      <c r="C40" s="24" t="s">
        <v>233</v>
      </c>
      <c r="D40" s="24" t="s">
        <v>234</v>
      </c>
      <c r="E40" s="24" t="s">
        <v>423</v>
      </c>
      <c r="F40" s="24" t="s">
        <v>178</v>
      </c>
      <c r="G40" s="24" t="s">
        <v>353</v>
      </c>
      <c r="H40" s="27" t="s">
        <v>64</v>
      </c>
      <c r="I40" s="27" t="s">
        <v>65</v>
      </c>
      <c r="J40" s="27" t="s">
        <v>66</v>
      </c>
      <c r="K40" s="25"/>
      <c r="L40" s="25" t="str">
        <f>"157,5"</f>
        <v>157,5</v>
      </c>
      <c r="M40" s="25" t="str">
        <f>"91,4130"</f>
        <v>91,4130</v>
      </c>
      <c r="N40" s="24"/>
    </row>
    <row r="41" spans="1:14">
      <c r="A41" s="14" t="s">
        <v>77</v>
      </c>
      <c r="B41" s="13" t="s">
        <v>235</v>
      </c>
      <c r="C41" s="13" t="s">
        <v>402</v>
      </c>
      <c r="D41" s="13" t="s">
        <v>236</v>
      </c>
      <c r="E41" s="13" t="s">
        <v>424</v>
      </c>
      <c r="F41" s="13" t="s">
        <v>178</v>
      </c>
      <c r="G41" s="13" t="s">
        <v>353</v>
      </c>
      <c r="H41" s="22" t="s">
        <v>41</v>
      </c>
      <c r="I41" s="22" t="s">
        <v>237</v>
      </c>
      <c r="J41" s="22" t="s">
        <v>42</v>
      </c>
      <c r="K41" s="14"/>
      <c r="L41" s="14" t="str">
        <f>"190,0"</f>
        <v>190,0</v>
      </c>
      <c r="M41" s="14" t="str">
        <f>"110,2015"</f>
        <v>110,2015</v>
      </c>
      <c r="N41" s="13"/>
    </row>
    <row r="42" spans="1:14">
      <c r="B42" s="5" t="s">
        <v>8</v>
      </c>
    </row>
    <row r="43" spans="1:14">
      <c r="B43" s="5" t="s">
        <v>8</v>
      </c>
    </row>
    <row r="44" spans="1:14">
      <c r="B44" s="5" t="s">
        <v>8</v>
      </c>
    </row>
    <row r="45" spans="1:14" ht="18">
      <c r="B45" s="8" t="s">
        <v>7</v>
      </c>
      <c r="C45" s="8"/>
    </row>
    <row r="46" spans="1:14" ht="16">
      <c r="B46" s="15" t="s">
        <v>74</v>
      </c>
      <c r="C46" s="15"/>
    </row>
    <row r="47" spans="1:14" ht="14">
      <c r="B47" s="16"/>
      <c r="C47" s="17" t="s">
        <v>69</v>
      </c>
    </row>
    <row r="48" spans="1:14" ht="14">
      <c r="B48" s="18" t="s">
        <v>70</v>
      </c>
      <c r="C48" s="18" t="s">
        <v>71</v>
      </c>
      <c r="D48" s="18" t="s">
        <v>417</v>
      </c>
      <c r="E48" s="18" t="s">
        <v>168</v>
      </c>
      <c r="F48" s="18" t="s">
        <v>72</v>
      </c>
    </row>
    <row r="49" spans="2:6">
      <c r="B49" s="5" t="s">
        <v>221</v>
      </c>
      <c r="C49" s="5" t="s">
        <v>69</v>
      </c>
      <c r="D49" s="6" t="s">
        <v>76</v>
      </c>
      <c r="E49" s="6" t="s">
        <v>124</v>
      </c>
      <c r="F49" s="6" t="s">
        <v>238</v>
      </c>
    </row>
    <row r="50" spans="2:6">
      <c r="B50" s="5" t="s">
        <v>193</v>
      </c>
      <c r="C50" s="5" t="s">
        <v>69</v>
      </c>
      <c r="D50" s="6" t="s">
        <v>73</v>
      </c>
      <c r="E50" s="6" t="s">
        <v>117</v>
      </c>
      <c r="F50" s="6" t="s">
        <v>239</v>
      </c>
    </row>
    <row r="51" spans="2:6">
      <c r="B51" s="5" t="s">
        <v>225</v>
      </c>
      <c r="C51" s="5" t="s">
        <v>69</v>
      </c>
      <c r="D51" s="6" t="s">
        <v>76</v>
      </c>
      <c r="E51" s="6" t="s">
        <v>228</v>
      </c>
      <c r="F51" s="6" t="s">
        <v>240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8:K38"/>
    <mergeCell ref="B3:B4"/>
    <mergeCell ref="A8:K8"/>
    <mergeCell ref="A13:K13"/>
    <mergeCell ref="A16:K16"/>
    <mergeCell ref="A24:K24"/>
    <mergeCell ref="A28:K28"/>
    <mergeCell ref="A34:K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81F3-60C0-4E1C-881F-5B1B83A6844A}">
  <dimension ref="A1:N23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9.5" style="5" bestFit="1" customWidth="1"/>
    <col min="4" max="4" width="21.5" style="5" bestFit="1" customWidth="1"/>
    <col min="5" max="5" width="10.5" style="5" bestFit="1" customWidth="1"/>
    <col min="6" max="6" width="19.5" style="5" customWidth="1"/>
    <col min="7" max="7" width="39.83203125" style="5" customWidth="1"/>
    <col min="8" max="10" width="5.6640625" style="6" customWidth="1"/>
    <col min="11" max="11" width="4.83203125" style="6" customWidth="1"/>
    <col min="12" max="12" width="10.5" style="6" bestFit="1" customWidth="1"/>
    <col min="13" max="13" width="8.83203125" style="6" bestFit="1" customWidth="1"/>
    <col min="14" max="14" width="18.33203125" style="5" customWidth="1"/>
    <col min="15" max="16384" width="9.1640625" style="3"/>
  </cols>
  <sheetData>
    <row r="1" spans="1:14" s="2" customFormat="1" ht="29" customHeight="1">
      <c r="A1" s="56" t="s">
        <v>384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10</v>
      </c>
      <c r="I3" s="50"/>
      <c r="J3" s="50"/>
      <c r="K3" s="50"/>
      <c r="L3" s="50" t="s">
        <v>169</v>
      </c>
      <c r="M3" s="50" t="s">
        <v>3</v>
      </c>
      <c r="N3" s="52" t="s">
        <v>2</v>
      </c>
    </row>
    <row r="4" spans="1:14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51"/>
      <c r="M4" s="51"/>
      <c r="N4" s="53"/>
    </row>
    <row r="5" spans="1:14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10" t="s">
        <v>77</v>
      </c>
      <c r="B6" s="9" t="s">
        <v>146</v>
      </c>
      <c r="C6" s="9" t="s">
        <v>147</v>
      </c>
      <c r="D6" s="9" t="s">
        <v>148</v>
      </c>
      <c r="E6" s="9" t="s">
        <v>423</v>
      </c>
      <c r="F6" s="9" t="s">
        <v>348</v>
      </c>
      <c r="G6" s="9" t="s">
        <v>353</v>
      </c>
      <c r="H6" s="19" t="s">
        <v>96</v>
      </c>
      <c r="I6" s="19" t="s">
        <v>19</v>
      </c>
      <c r="J6" s="20" t="s">
        <v>86</v>
      </c>
      <c r="K6" s="10"/>
      <c r="L6" s="10" t="str">
        <f>"45,0"</f>
        <v>45,0</v>
      </c>
      <c r="M6" s="10" t="str">
        <f>"44,3340"</f>
        <v>44,3340</v>
      </c>
      <c r="N6" s="9" t="s">
        <v>369</v>
      </c>
    </row>
    <row r="7" spans="1:14">
      <c r="B7" s="5" t="s">
        <v>8</v>
      </c>
    </row>
    <row r="8" spans="1:14" ht="16">
      <c r="A8" s="46" t="s">
        <v>149</v>
      </c>
      <c r="B8" s="46"/>
      <c r="C8" s="47"/>
      <c r="D8" s="47"/>
      <c r="E8" s="47"/>
      <c r="F8" s="47"/>
      <c r="G8" s="47"/>
      <c r="H8" s="47"/>
      <c r="I8" s="47"/>
      <c r="J8" s="47"/>
      <c r="K8" s="47"/>
    </row>
    <row r="9" spans="1:14">
      <c r="A9" s="10" t="s">
        <v>77</v>
      </c>
      <c r="B9" s="9" t="s">
        <v>150</v>
      </c>
      <c r="C9" s="9" t="s">
        <v>151</v>
      </c>
      <c r="D9" s="9" t="s">
        <v>152</v>
      </c>
      <c r="E9" s="9" t="s">
        <v>422</v>
      </c>
      <c r="F9" s="9" t="s">
        <v>133</v>
      </c>
      <c r="G9" s="9" t="s">
        <v>134</v>
      </c>
      <c r="H9" s="20" t="s">
        <v>85</v>
      </c>
      <c r="I9" s="20" t="s">
        <v>85</v>
      </c>
      <c r="J9" s="19" t="s">
        <v>85</v>
      </c>
      <c r="K9" s="10"/>
      <c r="L9" s="10" t="str">
        <f>"75,0"</f>
        <v>75,0</v>
      </c>
      <c r="M9" s="10" t="str">
        <f>"58,8900"</f>
        <v>58,8900</v>
      </c>
      <c r="N9" s="9" t="s">
        <v>356</v>
      </c>
    </row>
    <row r="10" spans="1:14">
      <c r="B10" s="5" t="s">
        <v>8</v>
      </c>
    </row>
    <row r="11" spans="1:14" ht="16">
      <c r="A11" s="46" t="s">
        <v>12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</row>
    <row r="12" spans="1:14">
      <c r="A12" s="10" t="s">
        <v>77</v>
      </c>
      <c r="B12" s="9" t="s">
        <v>153</v>
      </c>
      <c r="C12" s="9" t="s">
        <v>154</v>
      </c>
      <c r="D12" s="9" t="s">
        <v>155</v>
      </c>
      <c r="E12" s="9" t="s">
        <v>423</v>
      </c>
      <c r="F12" s="9" t="s">
        <v>348</v>
      </c>
      <c r="G12" s="9" t="s">
        <v>353</v>
      </c>
      <c r="H12" s="19" t="s">
        <v>85</v>
      </c>
      <c r="I12" s="19" t="s">
        <v>22</v>
      </c>
      <c r="J12" s="19" t="s">
        <v>88</v>
      </c>
      <c r="K12" s="10"/>
      <c r="L12" s="10" t="str">
        <f>"82,5"</f>
        <v>82,5</v>
      </c>
      <c r="M12" s="10" t="str">
        <f>"59,0618"</f>
        <v>59,0618</v>
      </c>
      <c r="N12" s="9" t="s">
        <v>369</v>
      </c>
    </row>
    <row r="13" spans="1:14">
      <c r="B13" s="5" t="s">
        <v>8</v>
      </c>
    </row>
    <row r="14" spans="1:14" ht="16">
      <c r="A14" s="46" t="s">
        <v>125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</row>
    <row r="15" spans="1:14">
      <c r="A15" s="10" t="s">
        <v>77</v>
      </c>
      <c r="B15" s="9" t="s">
        <v>156</v>
      </c>
      <c r="C15" s="9" t="s">
        <v>157</v>
      </c>
      <c r="D15" s="9" t="s">
        <v>158</v>
      </c>
      <c r="E15" s="9" t="s">
        <v>423</v>
      </c>
      <c r="F15" s="9" t="s">
        <v>348</v>
      </c>
      <c r="G15" s="9" t="s">
        <v>368</v>
      </c>
      <c r="H15" s="19" t="s">
        <v>116</v>
      </c>
      <c r="I15" s="20" t="s">
        <v>66</v>
      </c>
      <c r="J15" s="20" t="s">
        <v>33</v>
      </c>
      <c r="K15" s="10"/>
      <c r="L15" s="10" t="str">
        <f>"150,0"</f>
        <v>150,0</v>
      </c>
      <c r="M15" s="10" t="str">
        <f>"101,3100"</f>
        <v>101,3100</v>
      </c>
      <c r="N15" s="9"/>
    </row>
    <row r="16" spans="1:14">
      <c r="B16" s="5" t="s">
        <v>8</v>
      </c>
    </row>
    <row r="17" spans="1:14" ht="16">
      <c r="A17" s="46" t="s">
        <v>37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</row>
    <row r="18" spans="1:14">
      <c r="A18" s="12" t="s">
        <v>77</v>
      </c>
      <c r="B18" s="11" t="s">
        <v>159</v>
      </c>
      <c r="C18" s="11" t="s">
        <v>160</v>
      </c>
      <c r="D18" s="11" t="s">
        <v>161</v>
      </c>
      <c r="E18" s="11" t="s">
        <v>423</v>
      </c>
      <c r="F18" s="11" t="s">
        <v>348</v>
      </c>
      <c r="G18" s="11" t="s">
        <v>368</v>
      </c>
      <c r="H18" s="21" t="s">
        <v>34</v>
      </c>
      <c r="I18" s="26" t="s">
        <v>142</v>
      </c>
      <c r="J18" s="26" t="s">
        <v>142</v>
      </c>
      <c r="K18" s="12"/>
      <c r="L18" s="12" t="str">
        <f>"170,0"</f>
        <v>170,0</v>
      </c>
      <c r="M18" s="12" t="str">
        <f>"104,2780"</f>
        <v>104,2780</v>
      </c>
      <c r="N18" s="11" t="s">
        <v>367</v>
      </c>
    </row>
    <row r="19" spans="1:14">
      <c r="A19" s="14" t="s">
        <v>77</v>
      </c>
      <c r="B19" s="13" t="s">
        <v>159</v>
      </c>
      <c r="C19" s="13" t="s">
        <v>403</v>
      </c>
      <c r="D19" s="13" t="s">
        <v>161</v>
      </c>
      <c r="E19" s="13" t="s">
        <v>425</v>
      </c>
      <c r="F19" s="13" t="s">
        <v>348</v>
      </c>
      <c r="G19" s="13" t="s">
        <v>368</v>
      </c>
      <c r="H19" s="22" t="s">
        <v>34</v>
      </c>
      <c r="I19" s="23" t="s">
        <v>142</v>
      </c>
      <c r="J19" s="23" t="s">
        <v>142</v>
      </c>
      <c r="K19" s="14"/>
      <c r="L19" s="14" t="str">
        <f>"170,0"</f>
        <v>170,0</v>
      </c>
      <c r="M19" s="14" t="str">
        <f>"110,5347"</f>
        <v>110,5347</v>
      </c>
      <c r="N19" s="13" t="s">
        <v>367</v>
      </c>
    </row>
    <row r="20" spans="1:14">
      <c r="B20" s="5" t="s">
        <v>8</v>
      </c>
    </row>
    <row r="21" spans="1:14" ht="16">
      <c r="A21" s="46" t="s">
        <v>162</v>
      </c>
      <c r="B21" s="46"/>
      <c r="C21" s="47"/>
      <c r="D21" s="47"/>
      <c r="E21" s="47"/>
      <c r="F21" s="47"/>
      <c r="G21" s="47"/>
      <c r="H21" s="47"/>
      <c r="I21" s="47"/>
      <c r="J21" s="47"/>
      <c r="K21" s="47"/>
    </row>
    <row r="22" spans="1:14">
      <c r="A22" s="10" t="s">
        <v>77</v>
      </c>
      <c r="B22" s="9" t="s">
        <v>163</v>
      </c>
      <c r="C22" s="9" t="s">
        <v>164</v>
      </c>
      <c r="D22" s="9" t="s">
        <v>165</v>
      </c>
      <c r="E22" s="9" t="s">
        <v>423</v>
      </c>
      <c r="F22" s="9" t="s">
        <v>348</v>
      </c>
      <c r="G22" s="9" t="s">
        <v>166</v>
      </c>
      <c r="H22" s="19" t="s">
        <v>31</v>
      </c>
      <c r="I22" s="19" t="s">
        <v>67</v>
      </c>
      <c r="J22" s="19" t="s">
        <v>167</v>
      </c>
      <c r="K22" s="10"/>
      <c r="L22" s="10" t="str">
        <f>"245,0"</f>
        <v>245,0</v>
      </c>
      <c r="M22" s="10" t="str">
        <f>"138,3760"</f>
        <v>138,3760</v>
      </c>
      <c r="N22" s="9" t="s">
        <v>370</v>
      </c>
    </row>
    <row r="23" spans="1:14">
      <c r="B23" s="5" t="s">
        <v>8</v>
      </c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1:K21"/>
    <mergeCell ref="A5:K5"/>
    <mergeCell ref="A8:K8"/>
    <mergeCell ref="A11:K11"/>
    <mergeCell ref="A14:K14"/>
    <mergeCell ref="A17:K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C34C-59CB-456F-BB9A-268A13B2579F}">
  <dimension ref="A1:N7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83203125" style="5" bestFit="1" customWidth="1"/>
    <col min="8" max="10" width="5.6640625" style="6" customWidth="1"/>
    <col min="11" max="11" width="4.83203125" style="6" customWidth="1"/>
    <col min="12" max="12" width="10.5" style="6" bestFit="1" customWidth="1"/>
    <col min="13" max="13" width="8.83203125" style="6" bestFit="1" customWidth="1"/>
    <col min="14" max="14" width="18.83203125" style="5" customWidth="1"/>
    <col min="15" max="16384" width="9.1640625" style="3"/>
  </cols>
  <sheetData>
    <row r="1" spans="1:14" s="2" customFormat="1" ht="29" customHeight="1">
      <c r="A1" s="56" t="s">
        <v>385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10</v>
      </c>
      <c r="I3" s="50"/>
      <c r="J3" s="50"/>
      <c r="K3" s="50"/>
      <c r="L3" s="50" t="s">
        <v>169</v>
      </c>
      <c r="M3" s="50" t="s">
        <v>3</v>
      </c>
      <c r="N3" s="52" t="s">
        <v>2</v>
      </c>
    </row>
    <row r="4" spans="1:14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51"/>
      <c r="M4" s="51"/>
      <c r="N4" s="53"/>
    </row>
    <row r="5" spans="1:14" ht="16">
      <c r="A5" s="54" t="s">
        <v>25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10" t="s">
        <v>77</v>
      </c>
      <c r="B6" s="9" t="s">
        <v>245</v>
      </c>
      <c r="C6" s="9" t="s">
        <v>246</v>
      </c>
      <c r="D6" s="9" t="s">
        <v>247</v>
      </c>
      <c r="E6" s="9" t="s">
        <v>423</v>
      </c>
      <c r="F6" s="9" t="s">
        <v>133</v>
      </c>
      <c r="G6" s="9" t="s">
        <v>134</v>
      </c>
      <c r="H6" s="19" t="s">
        <v>40</v>
      </c>
      <c r="I6" s="20" t="s">
        <v>142</v>
      </c>
      <c r="J6" s="20" t="s">
        <v>142</v>
      </c>
      <c r="K6" s="10"/>
      <c r="L6" s="10" t="str">
        <f>"160,0"</f>
        <v>160,0</v>
      </c>
      <c r="M6" s="10" t="str">
        <f>"102,1440"</f>
        <v>102,1440</v>
      </c>
      <c r="N6" s="9"/>
    </row>
    <row r="7" spans="1:14">
      <c r="B7" s="5" t="s">
        <v>8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4898-906A-4EE9-8EBA-DE6FE0370F67}">
  <dimension ref="A1:N7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3" style="5" customWidth="1"/>
    <col min="7" max="7" width="37.6640625" style="5" customWidth="1"/>
    <col min="8" max="10" width="5.6640625" style="6" customWidth="1"/>
    <col min="11" max="11" width="4.83203125" style="6" customWidth="1"/>
    <col min="12" max="12" width="10.5" style="6" bestFit="1" customWidth="1"/>
    <col min="13" max="13" width="8.83203125" style="6" bestFit="1" customWidth="1"/>
    <col min="14" max="14" width="19.5" style="5" customWidth="1"/>
    <col min="15" max="16384" width="9.1640625" style="3"/>
  </cols>
  <sheetData>
    <row r="1" spans="1:14" s="2" customFormat="1" ht="29" customHeight="1">
      <c r="A1" s="56" t="s">
        <v>386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48"/>
      <c r="G3" s="50" t="s">
        <v>5</v>
      </c>
      <c r="H3" s="50" t="s">
        <v>10</v>
      </c>
      <c r="I3" s="50"/>
      <c r="J3" s="50"/>
      <c r="K3" s="50"/>
      <c r="L3" s="50" t="s">
        <v>169</v>
      </c>
      <c r="M3" s="50" t="s">
        <v>3</v>
      </c>
      <c r="N3" s="52" t="s">
        <v>2</v>
      </c>
    </row>
    <row r="4" spans="1:14" s="1" customFormat="1" ht="21" customHeight="1" thickBot="1">
      <c r="A4" s="65"/>
      <c r="B4" s="49"/>
      <c r="C4" s="51"/>
      <c r="D4" s="51"/>
      <c r="E4" s="51"/>
      <c r="F4" s="67"/>
      <c r="G4" s="51"/>
      <c r="H4" s="4">
        <v>1</v>
      </c>
      <c r="I4" s="4">
        <v>2</v>
      </c>
      <c r="J4" s="4">
        <v>3</v>
      </c>
      <c r="K4" s="4" t="s">
        <v>4</v>
      </c>
      <c r="L4" s="51"/>
      <c r="M4" s="51"/>
      <c r="N4" s="53"/>
    </row>
    <row r="5" spans="1:14" ht="16">
      <c r="A5" s="54" t="s">
        <v>138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10" t="s">
        <v>77</v>
      </c>
      <c r="B6" s="9" t="s">
        <v>242</v>
      </c>
      <c r="C6" s="9" t="s">
        <v>243</v>
      </c>
      <c r="D6" s="9" t="s">
        <v>244</v>
      </c>
      <c r="E6" s="9" t="s">
        <v>423</v>
      </c>
      <c r="F6" s="9" t="s">
        <v>348</v>
      </c>
      <c r="G6" s="9" t="s">
        <v>353</v>
      </c>
      <c r="H6" s="19" t="s">
        <v>35</v>
      </c>
      <c r="I6" s="19" t="s">
        <v>135</v>
      </c>
      <c r="J6" s="20" t="s">
        <v>137</v>
      </c>
      <c r="K6" s="10"/>
      <c r="L6" s="10" t="str">
        <f>"260,0"</f>
        <v>260,0</v>
      </c>
      <c r="M6" s="10" t="str">
        <f>"151,4240"</f>
        <v>151,4240</v>
      </c>
      <c r="N6" s="9"/>
    </row>
    <row r="7" spans="1:14">
      <c r="B7" s="5" t="s">
        <v>8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50D0-3C32-4768-8CD8-81164496433D}">
  <dimension ref="A1:N11"/>
  <sheetViews>
    <sheetView workbookViewId="0">
      <selection sqref="A1:N2"/>
    </sheetView>
  </sheetViews>
  <sheetFormatPr baseColWidth="10" defaultColWidth="9.1640625" defaultRowHeight="13"/>
  <cols>
    <col min="1" max="1" width="7.5" style="33" bestFit="1" customWidth="1"/>
    <col min="2" max="2" width="18.33203125" style="33" bestFit="1" customWidth="1"/>
    <col min="3" max="3" width="29.5" style="33" bestFit="1" customWidth="1"/>
    <col min="4" max="4" width="21.5" style="33" bestFit="1" customWidth="1"/>
    <col min="5" max="5" width="10.5" style="33" bestFit="1" customWidth="1"/>
    <col min="6" max="6" width="22.6640625" style="33" bestFit="1" customWidth="1"/>
    <col min="7" max="7" width="31.83203125" style="33" bestFit="1" customWidth="1"/>
    <col min="8" max="10" width="5.6640625" style="32" customWidth="1"/>
    <col min="11" max="11" width="4.83203125" style="32" customWidth="1"/>
    <col min="12" max="12" width="10.5" style="32" bestFit="1" customWidth="1"/>
    <col min="13" max="13" width="8.83203125" style="32" bestFit="1" customWidth="1"/>
    <col min="14" max="14" width="16.33203125" style="33" customWidth="1"/>
    <col min="15" max="16384" width="9.1640625" style="34"/>
  </cols>
  <sheetData>
    <row r="1" spans="1:14" s="29" customFormat="1" ht="29" customHeight="1">
      <c r="A1" s="72" t="s">
        <v>387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s="29" customFormat="1" ht="62" customHeight="1" thickBot="1">
      <c r="A2" s="76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 s="30" customFormat="1" ht="12.75" customHeight="1">
      <c r="A3" s="80"/>
      <c r="B3" s="82" t="s">
        <v>0</v>
      </c>
      <c r="C3" s="83" t="s">
        <v>420</v>
      </c>
      <c r="D3" s="83" t="s">
        <v>6</v>
      </c>
      <c r="E3" s="68" t="s">
        <v>421</v>
      </c>
      <c r="F3" s="82"/>
      <c r="G3" s="68" t="s">
        <v>5</v>
      </c>
      <c r="H3" s="68" t="s">
        <v>10</v>
      </c>
      <c r="I3" s="68"/>
      <c r="J3" s="68"/>
      <c r="K3" s="68"/>
      <c r="L3" s="68" t="s">
        <v>169</v>
      </c>
      <c r="M3" s="68" t="s">
        <v>3</v>
      </c>
      <c r="N3" s="70" t="s">
        <v>2</v>
      </c>
    </row>
    <row r="4" spans="1:14" s="30" customFormat="1" ht="21" customHeight="1" thickBot="1">
      <c r="A4" s="81"/>
      <c r="B4" s="49"/>
      <c r="C4" s="69"/>
      <c r="D4" s="69"/>
      <c r="E4" s="69"/>
      <c r="F4" s="84"/>
      <c r="G4" s="69"/>
      <c r="H4" s="31">
        <v>1</v>
      </c>
      <c r="I4" s="31">
        <v>2</v>
      </c>
      <c r="J4" s="31">
        <v>3</v>
      </c>
      <c r="K4" s="31" t="s">
        <v>4</v>
      </c>
      <c r="L4" s="69"/>
      <c r="M4" s="69"/>
      <c r="N4" s="71"/>
    </row>
    <row r="5" spans="1:14" ht="16">
      <c r="A5" s="55" t="s">
        <v>79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37" t="s">
        <v>77</v>
      </c>
      <c r="B6" s="38" t="s">
        <v>326</v>
      </c>
      <c r="C6" s="38" t="s">
        <v>327</v>
      </c>
      <c r="D6" s="38" t="s">
        <v>328</v>
      </c>
      <c r="E6" s="38" t="s">
        <v>423</v>
      </c>
      <c r="F6" s="38" t="s">
        <v>133</v>
      </c>
      <c r="G6" s="38" t="s">
        <v>134</v>
      </c>
      <c r="H6" s="39" t="s">
        <v>22</v>
      </c>
      <c r="I6" s="21" t="s">
        <v>22</v>
      </c>
      <c r="J6" s="39" t="s">
        <v>89</v>
      </c>
      <c r="K6" s="37"/>
      <c r="L6" s="37" t="str">
        <f>"80,0"</f>
        <v>80,0</v>
      </c>
      <c r="M6" s="37" t="str">
        <f>"90,5360"</f>
        <v>90,5360</v>
      </c>
      <c r="N6" s="38" t="s">
        <v>375</v>
      </c>
    </row>
    <row r="7" spans="1:14">
      <c r="A7" s="40" t="s">
        <v>77</v>
      </c>
      <c r="B7" s="41" t="s">
        <v>326</v>
      </c>
      <c r="C7" s="41" t="s">
        <v>404</v>
      </c>
      <c r="D7" s="41" t="s">
        <v>328</v>
      </c>
      <c r="E7" s="41" t="s">
        <v>425</v>
      </c>
      <c r="F7" s="41" t="s">
        <v>133</v>
      </c>
      <c r="G7" s="41" t="s">
        <v>134</v>
      </c>
      <c r="H7" s="42" t="s">
        <v>22</v>
      </c>
      <c r="I7" s="22" t="s">
        <v>22</v>
      </c>
      <c r="J7" s="42" t="s">
        <v>89</v>
      </c>
      <c r="K7" s="40"/>
      <c r="L7" s="40" t="str">
        <f>"80,0"</f>
        <v>80,0</v>
      </c>
      <c r="M7" s="40" t="str">
        <f>"114,7997"</f>
        <v>114,7997</v>
      </c>
      <c r="N7" s="41" t="s">
        <v>356</v>
      </c>
    </row>
    <row r="8" spans="1:14">
      <c r="B8" s="33" t="s">
        <v>8</v>
      </c>
    </row>
    <row r="9" spans="1:14" ht="16">
      <c r="A9" s="47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4">
      <c r="A10" s="35" t="s">
        <v>77</v>
      </c>
      <c r="B10" s="36" t="s">
        <v>329</v>
      </c>
      <c r="C10" s="36" t="s">
        <v>405</v>
      </c>
      <c r="D10" s="36" t="s">
        <v>330</v>
      </c>
      <c r="E10" s="36" t="s">
        <v>424</v>
      </c>
      <c r="F10" s="36" t="s">
        <v>133</v>
      </c>
      <c r="G10" s="36" t="s">
        <v>134</v>
      </c>
      <c r="H10" s="19" t="s">
        <v>46</v>
      </c>
      <c r="I10" s="43" t="s">
        <v>62</v>
      </c>
      <c r="J10" s="19" t="s">
        <v>62</v>
      </c>
      <c r="K10" s="35"/>
      <c r="L10" s="35" t="str">
        <f>"210,0"</f>
        <v>210,0</v>
      </c>
      <c r="M10" s="35" t="str">
        <f>"143,1404"</f>
        <v>143,1404</v>
      </c>
      <c r="N10" s="36"/>
    </row>
    <row r="11" spans="1:14">
      <c r="B11" s="33" t="s">
        <v>8</v>
      </c>
    </row>
  </sheetData>
  <mergeCells count="14">
    <mergeCell ref="M3:M4"/>
    <mergeCell ref="N3:N4"/>
    <mergeCell ref="A5:K5"/>
    <mergeCell ref="A9:K9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8A76-1BBB-4E75-BA89-FA22FBAED303}">
  <dimension ref="A1:N50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9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83203125" style="5" bestFit="1" customWidth="1"/>
    <col min="8" max="10" width="5.6640625" style="6" customWidth="1"/>
    <col min="11" max="11" width="4.83203125" style="6" customWidth="1"/>
    <col min="12" max="12" width="10.5" style="6" bestFit="1" customWidth="1"/>
    <col min="13" max="13" width="8.83203125" style="6" bestFit="1" customWidth="1"/>
    <col min="14" max="14" width="26.5" style="5" bestFit="1" customWidth="1"/>
    <col min="15" max="16384" width="9.1640625" style="3"/>
  </cols>
  <sheetData>
    <row r="1" spans="1:14" s="2" customFormat="1" ht="29" customHeight="1">
      <c r="A1" s="56" t="s">
        <v>388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50"/>
      <c r="G3" s="50" t="s">
        <v>5</v>
      </c>
      <c r="H3" s="50" t="s">
        <v>11</v>
      </c>
      <c r="I3" s="50"/>
      <c r="J3" s="50"/>
      <c r="K3" s="50"/>
      <c r="L3" s="50" t="s">
        <v>169</v>
      </c>
      <c r="M3" s="50" t="s">
        <v>3</v>
      </c>
      <c r="N3" s="52" t="s">
        <v>2</v>
      </c>
    </row>
    <row r="4" spans="1:14" s="1" customFormat="1" ht="21" customHeight="1" thickBot="1">
      <c r="A4" s="65"/>
      <c r="B4" s="49"/>
      <c r="C4" s="51"/>
      <c r="D4" s="51"/>
      <c r="E4" s="51"/>
      <c r="F4" s="51"/>
      <c r="G4" s="51"/>
      <c r="H4" s="4">
        <v>1</v>
      </c>
      <c r="I4" s="4">
        <v>2</v>
      </c>
      <c r="J4" s="4">
        <v>3</v>
      </c>
      <c r="K4" s="4" t="s">
        <v>4</v>
      </c>
      <c r="L4" s="51"/>
      <c r="M4" s="51"/>
      <c r="N4" s="53"/>
    </row>
    <row r="5" spans="1:14" ht="16">
      <c r="A5" s="54" t="s">
        <v>79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10" t="s">
        <v>77</v>
      </c>
      <c r="B6" s="9" t="s">
        <v>175</v>
      </c>
      <c r="C6" s="9" t="s">
        <v>176</v>
      </c>
      <c r="D6" s="9" t="s">
        <v>177</v>
      </c>
      <c r="E6" s="9" t="s">
        <v>423</v>
      </c>
      <c r="F6" s="9" t="s">
        <v>178</v>
      </c>
      <c r="G6" s="9" t="s">
        <v>353</v>
      </c>
      <c r="H6" s="20" t="s">
        <v>181</v>
      </c>
      <c r="I6" s="19" t="s">
        <v>181</v>
      </c>
      <c r="J6" s="20" t="s">
        <v>45</v>
      </c>
      <c r="K6" s="10"/>
      <c r="L6" s="10" t="str">
        <f>"122,5"</f>
        <v>122,5</v>
      </c>
      <c r="M6" s="10" t="str">
        <f>"157,8412"</f>
        <v>157,8412</v>
      </c>
      <c r="N6" s="9" t="s">
        <v>350</v>
      </c>
    </row>
    <row r="7" spans="1:14">
      <c r="B7" s="5" t="s">
        <v>8</v>
      </c>
    </row>
    <row r="8" spans="1:14" ht="16">
      <c r="A8" s="46" t="s">
        <v>182</v>
      </c>
      <c r="B8" s="46"/>
      <c r="C8" s="47"/>
      <c r="D8" s="47"/>
      <c r="E8" s="47"/>
      <c r="F8" s="47"/>
      <c r="G8" s="47"/>
      <c r="H8" s="47"/>
      <c r="I8" s="47"/>
      <c r="J8" s="47"/>
      <c r="K8" s="47"/>
    </row>
    <row r="9" spans="1:14">
      <c r="A9" s="12" t="s">
        <v>77</v>
      </c>
      <c r="B9" s="11" t="s">
        <v>267</v>
      </c>
      <c r="C9" s="11" t="s">
        <v>268</v>
      </c>
      <c r="D9" s="11" t="s">
        <v>269</v>
      </c>
      <c r="E9" s="11" t="s">
        <v>423</v>
      </c>
      <c r="F9" s="11" t="s">
        <v>133</v>
      </c>
      <c r="G9" s="11" t="s">
        <v>134</v>
      </c>
      <c r="H9" s="21" t="s">
        <v>113</v>
      </c>
      <c r="I9" s="21" t="s">
        <v>44</v>
      </c>
      <c r="J9" s="21" t="s">
        <v>45</v>
      </c>
      <c r="K9" s="12"/>
      <c r="L9" s="12" t="str">
        <f>"135,0"</f>
        <v>135,0</v>
      </c>
      <c r="M9" s="12" t="str">
        <f>"161,3250"</f>
        <v>161,3250</v>
      </c>
      <c r="N9" s="11" t="s">
        <v>356</v>
      </c>
    </row>
    <row r="10" spans="1:14">
      <c r="A10" s="25" t="s">
        <v>78</v>
      </c>
      <c r="B10" s="24" t="s">
        <v>270</v>
      </c>
      <c r="C10" s="24" t="s">
        <v>271</v>
      </c>
      <c r="D10" s="24" t="s">
        <v>272</v>
      </c>
      <c r="E10" s="24" t="s">
        <v>423</v>
      </c>
      <c r="F10" s="24" t="s">
        <v>52</v>
      </c>
      <c r="G10" s="24" t="s">
        <v>362</v>
      </c>
      <c r="H10" s="27" t="s">
        <v>43</v>
      </c>
      <c r="I10" s="27" t="s">
        <v>199</v>
      </c>
      <c r="J10" s="28" t="s">
        <v>44</v>
      </c>
      <c r="K10" s="25"/>
      <c r="L10" s="25" t="str">
        <f>"127,5"</f>
        <v>127,5</v>
      </c>
      <c r="M10" s="25" t="str">
        <f>"153,9053"</f>
        <v>153,9053</v>
      </c>
      <c r="N10" s="24" t="s">
        <v>357</v>
      </c>
    </row>
    <row r="11" spans="1:14">
      <c r="A11" s="14" t="s">
        <v>241</v>
      </c>
      <c r="B11" s="13" t="s">
        <v>273</v>
      </c>
      <c r="C11" s="13" t="s">
        <v>274</v>
      </c>
      <c r="D11" s="13" t="s">
        <v>275</v>
      </c>
      <c r="E11" s="13" t="s">
        <v>423</v>
      </c>
      <c r="F11" s="13" t="s">
        <v>178</v>
      </c>
      <c r="G11" s="13" t="s">
        <v>353</v>
      </c>
      <c r="H11" s="23" t="s">
        <v>276</v>
      </c>
      <c r="I11" s="22" t="s">
        <v>276</v>
      </c>
      <c r="J11" s="22" t="s">
        <v>277</v>
      </c>
      <c r="K11" s="14"/>
      <c r="L11" s="14" t="str">
        <f>"112,5"</f>
        <v>112,5</v>
      </c>
      <c r="M11" s="14" t="str">
        <f>"135,6075"</f>
        <v>135,6075</v>
      </c>
      <c r="N11" s="13" t="s">
        <v>358</v>
      </c>
    </row>
    <row r="12" spans="1:14">
      <c r="B12" s="5" t="s">
        <v>8</v>
      </c>
    </row>
    <row r="13" spans="1:14" ht="16">
      <c r="A13" s="46" t="s">
        <v>278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</row>
    <row r="14" spans="1:14">
      <c r="A14" s="12" t="s">
        <v>77</v>
      </c>
      <c r="B14" s="11" t="s">
        <v>279</v>
      </c>
      <c r="C14" s="11" t="s">
        <v>280</v>
      </c>
      <c r="D14" s="11" t="s">
        <v>281</v>
      </c>
      <c r="E14" s="11" t="s">
        <v>423</v>
      </c>
      <c r="F14" s="11" t="s">
        <v>348</v>
      </c>
      <c r="G14" s="11" t="s">
        <v>353</v>
      </c>
      <c r="H14" s="21" t="s">
        <v>121</v>
      </c>
      <c r="I14" s="21" t="s">
        <v>190</v>
      </c>
      <c r="J14" s="26" t="s">
        <v>43</v>
      </c>
      <c r="K14" s="12"/>
      <c r="L14" s="12" t="str">
        <f>"117,5"</f>
        <v>117,5</v>
      </c>
      <c r="M14" s="12" t="str">
        <f>"137,0990"</f>
        <v>137,0990</v>
      </c>
      <c r="N14" s="11"/>
    </row>
    <row r="15" spans="1:14">
      <c r="A15" s="14" t="s">
        <v>77</v>
      </c>
      <c r="B15" s="13" t="s">
        <v>282</v>
      </c>
      <c r="C15" s="13" t="s">
        <v>406</v>
      </c>
      <c r="D15" s="13" t="s">
        <v>283</v>
      </c>
      <c r="E15" s="13" t="s">
        <v>424</v>
      </c>
      <c r="F15" s="13" t="s">
        <v>348</v>
      </c>
      <c r="G15" s="13" t="s">
        <v>141</v>
      </c>
      <c r="H15" s="22" t="s">
        <v>23</v>
      </c>
      <c r="I15" s="22" t="s">
        <v>253</v>
      </c>
      <c r="J15" s="23" t="s">
        <v>121</v>
      </c>
      <c r="K15" s="14"/>
      <c r="L15" s="14" t="str">
        <f>"105,0"</f>
        <v>105,0</v>
      </c>
      <c r="M15" s="14" t="str">
        <f>"122,6867"</f>
        <v>122,6867</v>
      </c>
      <c r="N15" s="13" t="s">
        <v>359</v>
      </c>
    </row>
    <row r="16" spans="1:14">
      <c r="B16" s="5" t="s">
        <v>8</v>
      </c>
    </row>
    <row r="17" spans="1:14" ht="16">
      <c r="A17" s="46" t="s">
        <v>149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</row>
    <row r="18" spans="1:14">
      <c r="A18" s="10" t="s">
        <v>77</v>
      </c>
      <c r="B18" s="9" t="s">
        <v>284</v>
      </c>
      <c r="C18" s="9" t="s">
        <v>285</v>
      </c>
      <c r="D18" s="9" t="s">
        <v>286</v>
      </c>
      <c r="E18" s="9" t="s">
        <v>423</v>
      </c>
      <c r="F18" s="9" t="s">
        <v>348</v>
      </c>
      <c r="G18" s="9" t="s">
        <v>29</v>
      </c>
      <c r="H18" s="19" t="s">
        <v>113</v>
      </c>
      <c r="I18" s="19" t="s">
        <v>45</v>
      </c>
      <c r="J18" s="20" t="s">
        <v>105</v>
      </c>
      <c r="K18" s="10"/>
      <c r="L18" s="10" t="str">
        <f>"135,0"</f>
        <v>135,0</v>
      </c>
      <c r="M18" s="10" t="str">
        <f>"139,2795"</f>
        <v>139,2795</v>
      </c>
      <c r="N18" s="9"/>
    </row>
    <row r="19" spans="1:14">
      <c r="B19" s="5" t="s">
        <v>8</v>
      </c>
    </row>
    <row r="20" spans="1:14" ht="16">
      <c r="A20" s="46" t="s">
        <v>12</v>
      </c>
      <c r="B20" s="46"/>
      <c r="C20" s="47"/>
      <c r="D20" s="47"/>
      <c r="E20" s="47"/>
      <c r="F20" s="47"/>
      <c r="G20" s="47"/>
      <c r="H20" s="47"/>
      <c r="I20" s="47"/>
      <c r="J20" s="47"/>
      <c r="K20" s="47"/>
    </row>
    <row r="21" spans="1:14">
      <c r="A21" s="10" t="s">
        <v>77</v>
      </c>
      <c r="B21" s="9" t="s">
        <v>287</v>
      </c>
      <c r="C21" s="9" t="s">
        <v>288</v>
      </c>
      <c r="D21" s="9" t="s">
        <v>289</v>
      </c>
      <c r="E21" s="9" t="s">
        <v>423</v>
      </c>
      <c r="F21" s="9" t="s">
        <v>133</v>
      </c>
      <c r="G21" s="9" t="s">
        <v>134</v>
      </c>
      <c r="H21" s="19" t="s">
        <v>124</v>
      </c>
      <c r="I21" s="20" t="s">
        <v>123</v>
      </c>
      <c r="J21" s="20" t="s">
        <v>123</v>
      </c>
      <c r="K21" s="10"/>
      <c r="L21" s="10" t="str">
        <f>"195,0"</f>
        <v>195,0</v>
      </c>
      <c r="M21" s="10" t="str">
        <f>"141,9210"</f>
        <v>141,9210</v>
      </c>
      <c r="N21" s="9" t="s">
        <v>356</v>
      </c>
    </row>
    <row r="22" spans="1:14">
      <c r="B22" s="5" t="s">
        <v>8</v>
      </c>
    </row>
    <row r="23" spans="1:14" ht="16">
      <c r="A23" s="46" t="s">
        <v>25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</row>
    <row r="24" spans="1:14">
      <c r="A24" s="12" t="s">
        <v>77</v>
      </c>
      <c r="B24" s="11" t="s">
        <v>290</v>
      </c>
      <c r="C24" s="11" t="s">
        <v>291</v>
      </c>
      <c r="D24" s="11" t="s">
        <v>292</v>
      </c>
      <c r="E24" s="11" t="s">
        <v>423</v>
      </c>
      <c r="F24" s="11" t="s">
        <v>52</v>
      </c>
      <c r="G24" s="11" t="s">
        <v>362</v>
      </c>
      <c r="H24" s="21" t="s">
        <v>62</v>
      </c>
      <c r="I24" s="21" t="s">
        <v>63</v>
      </c>
      <c r="J24" s="21" t="s">
        <v>31</v>
      </c>
      <c r="K24" s="12"/>
      <c r="L24" s="12" t="str">
        <f>"230,0"</f>
        <v>230,0</v>
      </c>
      <c r="M24" s="12" t="str">
        <f>"150,7190"</f>
        <v>150,7190</v>
      </c>
      <c r="N24" s="11"/>
    </row>
    <row r="25" spans="1:14">
      <c r="A25" s="14" t="s">
        <v>78</v>
      </c>
      <c r="B25" s="13" t="s">
        <v>293</v>
      </c>
      <c r="C25" s="13" t="s">
        <v>294</v>
      </c>
      <c r="D25" s="13" t="s">
        <v>295</v>
      </c>
      <c r="E25" s="13" t="s">
        <v>423</v>
      </c>
      <c r="F25" s="13" t="s">
        <v>178</v>
      </c>
      <c r="G25" s="13" t="s">
        <v>353</v>
      </c>
      <c r="H25" s="22" t="s">
        <v>62</v>
      </c>
      <c r="I25" s="23" t="s">
        <v>30</v>
      </c>
      <c r="J25" s="23" t="s">
        <v>30</v>
      </c>
      <c r="K25" s="14"/>
      <c r="L25" s="14" t="str">
        <f>"210,0"</f>
        <v>210,0</v>
      </c>
      <c r="M25" s="14" t="str">
        <f>"137,4450"</f>
        <v>137,4450</v>
      </c>
      <c r="N25" s="13" t="s">
        <v>360</v>
      </c>
    </row>
    <row r="26" spans="1:14">
      <c r="B26" s="5" t="s">
        <v>8</v>
      </c>
    </row>
    <row r="27" spans="1:14" ht="16">
      <c r="A27" s="46" t="s">
        <v>37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</row>
    <row r="28" spans="1:14">
      <c r="A28" s="12" t="s">
        <v>77</v>
      </c>
      <c r="B28" s="11" t="s">
        <v>296</v>
      </c>
      <c r="C28" s="11" t="s">
        <v>297</v>
      </c>
      <c r="D28" s="11" t="s">
        <v>298</v>
      </c>
      <c r="E28" s="11" t="s">
        <v>423</v>
      </c>
      <c r="F28" s="11" t="s">
        <v>348</v>
      </c>
      <c r="G28" s="11" t="s">
        <v>353</v>
      </c>
      <c r="H28" s="21" t="s">
        <v>31</v>
      </c>
      <c r="I28" s="26" t="s">
        <v>67</v>
      </c>
      <c r="J28" s="26" t="s">
        <v>67</v>
      </c>
      <c r="K28" s="12"/>
      <c r="L28" s="12" t="str">
        <f>"230,0"</f>
        <v>230,0</v>
      </c>
      <c r="M28" s="12" t="str">
        <f>"143,1290"</f>
        <v>143,1290</v>
      </c>
      <c r="N28" s="11"/>
    </row>
    <row r="29" spans="1:14">
      <c r="A29" s="14" t="s">
        <v>78</v>
      </c>
      <c r="B29" s="13" t="s">
        <v>299</v>
      </c>
      <c r="C29" s="13" t="s">
        <v>300</v>
      </c>
      <c r="D29" s="13" t="s">
        <v>301</v>
      </c>
      <c r="E29" s="13" t="s">
        <v>423</v>
      </c>
      <c r="F29" s="13" t="s">
        <v>178</v>
      </c>
      <c r="G29" s="13" t="s">
        <v>353</v>
      </c>
      <c r="H29" s="22" t="s">
        <v>46</v>
      </c>
      <c r="I29" s="22" t="s">
        <v>123</v>
      </c>
      <c r="J29" s="23" t="s">
        <v>62</v>
      </c>
      <c r="K29" s="14"/>
      <c r="L29" s="14" t="str">
        <f>"207,5"</f>
        <v>207,5</v>
      </c>
      <c r="M29" s="14" t="str">
        <f>"126,8033"</f>
        <v>126,8033</v>
      </c>
      <c r="N29" s="13"/>
    </row>
    <row r="30" spans="1:14">
      <c r="B30" s="5" t="s">
        <v>8</v>
      </c>
    </row>
    <row r="31" spans="1:14" ht="16">
      <c r="A31" s="46" t="s">
        <v>48</v>
      </c>
      <c r="B31" s="46"/>
      <c r="C31" s="47"/>
      <c r="D31" s="47"/>
      <c r="E31" s="47"/>
      <c r="F31" s="47"/>
      <c r="G31" s="47"/>
      <c r="H31" s="47"/>
      <c r="I31" s="47"/>
      <c r="J31" s="47"/>
      <c r="K31" s="47"/>
    </row>
    <row r="32" spans="1:14">
      <c r="A32" s="10" t="s">
        <v>77</v>
      </c>
      <c r="B32" s="9" t="s">
        <v>302</v>
      </c>
      <c r="C32" s="9" t="s">
        <v>303</v>
      </c>
      <c r="D32" s="9" t="s">
        <v>304</v>
      </c>
      <c r="E32" s="9" t="s">
        <v>423</v>
      </c>
      <c r="F32" s="9" t="s">
        <v>348</v>
      </c>
      <c r="G32" s="9" t="s">
        <v>353</v>
      </c>
      <c r="H32" s="19" t="s">
        <v>42</v>
      </c>
      <c r="I32" s="20" t="s">
        <v>46</v>
      </c>
      <c r="J32" s="20" t="s">
        <v>46</v>
      </c>
      <c r="K32" s="10"/>
      <c r="L32" s="10" t="str">
        <f>"190,0"</f>
        <v>190,0</v>
      </c>
      <c r="M32" s="10" t="str">
        <f>"112,8030"</f>
        <v>112,8030</v>
      </c>
      <c r="N32" s="9" t="s">
        <v>361</v>
      </c>
    </row>
    <row r="33" spans="2:6">
      <c r="B33" s="5" t="s">
        <v>8</v>
      </c>
    </row>
    <row r="34" spans="2:6" ht="16">
      <c r="B34" s="5" t="s">
        <v>8</v>
      </c>
      <c r="F34" s="7"/>
    </row>
    <row r="35" spans="2:6">
      <c r="B35" s="5" t="s">
        <v>8</v>
      </c>
    </row>
    <row r="36" spans="2:6" ht="18">
      <c r="B36" s="8" t="s">
        <v>7</v>
      </c>
      <c r="C36" s="8"/>
    </row>
    <row r="37" spans="2:6" ht="16">
      <c r="B37" s="15" t="s">
        <v>68</v>
      </c>
      <c r="C37" s="15"/>
    </row>
    <row r="38" spans="2:6" ht="14">
      <c r="B38" s="16"/>
      <c r="C38" s="17" t="s">
        <v>69</v>
      </c>
    </row>
    <row r="39" spans="2:6" ht="14">
      <c r="B39" s="18" t="s">
        <v>70</v>
      </c>
      <c r="C39" s="18" t="s">
        <v>71</v>
      </c>
      <c r="D39" s="18" t="s">
        <v>417</v>
      </c>
      <c r="E39" s="18" t="s">
        <v>168</v>
      </c>
      <c r="F39" s="18" t="s">
        <v>72</v>
      </c>
    </row>
    <row r="40" spans="2:6">
      <c r="B40" s="5" t="s">
        <v>267</v>
      </c>
      <c r="C40" s="5" t="s">
        <v>69</v>
      </c>
      <c r="D40" s="6" t="s">
        <v>305</v>
      </c>
      <c r="E40" s="6" t="s">
        <v>45</v>
      </c>
      <c r="F40" s="6" t="s">
        <v>306</v>
      </c>
    </row>
    <row r="41" spans="2:6">
      <c r="B41" s="5" t="s">
        <v>175</v>
      </c>
      <c r="C41" s="5" t="s">
        <v>69</v>
      </c>
      <c r="D41" s="6" t="s">
        <v>122</v>
      </c>
      <c r="E41" s="6" t="s">
        <v>181</v>
      </c>
      <c r="F41" s="6" t="s">
        <v>307</v>
      </c>
    </row>
    <row r="42" spans="2:6">
      <c r="B42" s="5" t="s">
        <v>270</v>
      </c>
      <c r="C42" s="5" t="s">
        <v>69</v>
      </c>
      <c r="D42" s="6" t="s">
        <v>305</v>
      </c>
      <c r="E42" s="6" t="s">
        <v>199</v>
      </c>
      <c r="F42" s="6" t="s">
        <v>308</v>
      </c>
    </row>
    <row r="44" spans="2:6" ht="16">
      <c r="B44" s="15" t="s">
        <v>74</v>
      </c>
      <c r="C44" s="15"/>
    </row>
    <row r="45" spans="2:6" ht="14">
      <c r="B45" s="16"/>
      <c r="C45" s="17" t="s">
        <v>69</v>
      </c>
    </row>
    <row r="46" spans="2:6" ht="14">
      <c r="B46" s="18" t="s">
        <v>70</v>
      </c>
      <c r="C46" s="18" t="s">
        <v>71</v>
      </c>
      <c r="D46" s="18" t="s">
        <v>417</v>
      </c>
      <c r="E46" s="18" t="s">
        <v>168</v>
      </c>
      <c r="F46" s="18" t="s">
        <v>72</v>
      </c>
    </row>
    <row r="47" spans="2:6">
      <c r="B47" s="5" t="s">
        <v>290</v>
      </c>
      <c r="C47" s="5" t="s">
        <v>69</v>
      </c>
      <c r="D47" s="6" t="s">
        <v>75</v>
      </c>
      <c r="E47" s="6" t="s">
        <v>31</v>
      </c>
      <c r="F47" s="6" t="s">
        <v>309</v>
      </c>
    </row>
    <row r="48" spans="2:6">
      <c r="B48" s="5" t="s">
        <v>296</v>
      </c>
      <c r="C48" s="5" t="s">
        <v>69</v>
      </c>
      <c r="D48" s="6" t="s">
        <v>76</v>
      </c>
      <c r="E48" s="6" t="s">
        <v>31</v>
      </c>
      <c r="F48" s="6" t="s">
        <v>310</v>
      </c>
    </row>
    <row r="49" spans="2:6">
      <c r="B49" s="5" t="s">
        <v>287</v>
      </c>
      <c r="C49" s="5" t="s">
        <v>69</v>
      </c>
      <c r="D49" s="6" t="s">
        <v>73</v>
      </c>
      <c r="E49" s="6" t="s">
        <v>124</v>
      </c>
      <c r="F49" s="6" t="s">
        <v>311</v>
      </c>
    </row>
    <row r="50" spans="2:6">
      <c r="B50" s="5" t="s">
        <v>8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1:K31"/>
    <mergeCell ref="B3:B4"/>
    <mergeCell ref="A8:K8"/>
    <mergeCell ref="A13:K13"/>
    <mergeCell ref="A17:K17"/>
    <mergeCell ref="A20:K20"/>
    <mergeCell ref="A23:K23"/>
    <mergeCell ref="A27:K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3C5F-F7E6-459E-89C4-2566EFAC2709}">
  <dimension ref="A1:N27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9.5" style="5" bestFit="1" customWidth="1"/>
    <col min="4" max="4" width="21.5" style="5" bestFit="1" customWidth="1"/>
    <col min="5" max="5" width="10.5" style="5" bestFit="1" customWidth="1"/>
    <col min="6" max="6" width="25.6640625" style="5" bestFit="1" customWidth="1"/>
    <col min="7" max="7" width="34.83203125" style="5" bestFit="1" customWidth="1"/>
    <col min="8" max="10" width="5.6640625" style="6" customWidth="1"/>
    <col min="11" max="11" width="4.83203125" style="6" customWidth="1"/>
    <col min="12" max="12" width="10.5" style="6" bestFit="1" customWidth="1"/>
    <col min="13" max="13" width="8.83203125" style="6" bestFit="1" customWidth="1"/>
    <col min="14" max="14" width="24.83203125" style="5" customWidth="1"/>
    <col min="15" max="16384" width="9.1640625" style="3"/>
  </cols>
  <sheetData>
    <row r="1" spans="1:14" s="2" customFormat="1" ht="29" customHeight="1">
      <c r="A1" s="56" t="s">
        <v>389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50"/>
      <c r="G3" s="50" t="s">
        <v>5</v>
      </c>
      <c r="H3" s="50" t="s">
        <v>11</v>
      </c>
      <c r="I3" s="50"/>
      <c r="J3" s="50"/>
      <c r="K3" s="50"/>
      <c r="L3" s="50" t="s">
        <v>169</v>
      </c>
      <c r="M3" s="50" t="s">
        <v>3</v>
      </c>
      <c r="N3" s="52" t="s">
        <v>2</v>
      </c>
    </row>
    <row r="4" spans="1:14" s="1" customFormat="1" ht="21" customHeight="1" thickBot="1">
      <c r="A4" s="65"/>
      <c r="B4" s="49"/>
      <c r="C4" s="51"/>
      <c r="D4" s="51"/>
      <c r="E4" s="51"/>
      <c r="F4" s="51"/>
      <c r="G4" s="51"/>
      <c r="H4" s="4">
        <v>1</v>
      </c>
      <c r="I4" s="4">
        <v>2</v>
      </c>
      <c r="J4" s="4">
        <v>3</v>
      </c>
      <c r="K4" s="4" t="s">
        <v>4</v>
      </c>
      <c r="L4" s="51"/>
      <c r="M4" s="51"/>
      <c r="N4" s="53"/>
    </row>
    <row r="5" spans="1:14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12" t="s">
        <v>77</v>
      </c>
      <c r="B6" s="11" t="s">
        <v>248</v>
      </c>
      <c r="C6" s="11" t="s">
        <v>249</v>
      </c>
      <c r="D6" s="11" t="s">
        <v>250</v>
      </c>
      <c r="E6" s="11" t="s">
        <v>423</v>
      </c>
      <c r="F6" s="11" t="s">
        <v>418</v>
      </c>
      <c r="G6" s="11" t="s">
        <v>353</v>
      </c>
      <c r="H6" s="21" t="s">
        <v>22</v>
      </c>
      <c r="I6" s="21" t="s">
        <v>89</v>
      </c>
      <c r="J6" s="21" t="s">
        <v>115</v>
      </c>
      <c r="K6" s="12"/>
      <c r="L6" s="12" t="str">
        <f>"95,0"</f>
        <v>95,0</v>
      </c>
      <c r="M6" s="12" t="str">
        <f>"92,9860"</f>
        <v>92,9860</v>
      </c>
      <c r="N6" s="11" t="s">
        <v>354</v>
      </c>
    </row>
    <row r="7" spans="1:14">
      <c r="A7" s="14" t="s">
        <v>77</v>
      </c>
      <c r="B7" s="13" t="s">
        <v>251</v>
      </c>
      <c r="C7" s="13" t="s">
        <v>407</v>
      </c>
      <c r="D7" s="13" t="s">
        <v>252</v>
      </c>
      <c r="E7" s="13" t="s">
        <v>425</v>
      </c>
      <c r="F7" s="13" t="s">
        <v>52</v>
      </c>
      <c r="G7" s="13" t="s">
        <v>362</v>
      </c>
      <c r="H7" s="22" t="s">
        <v>253</v>
      </c>
      <c r="I7" s="23" t="s">
        <v>121</v>
      </c>
      <c r="J7" s="23" t="s">
        <v>121</v>
      </c>
      <c r="K7" s="14"/>
      <c r="L7" s="14" t="str">
        <f>"105,0"</f>
        <v>105,0</v>
      </c>
      <c r="M7" s="14" t="str">
        <f>"109,4774"</f>
        <v>109,4774</v>
      </c>
      <c r="N7" s="13" t="s">
        <v>363</v>
      </c>
    </row>
    <row r="8" spans="1:14">
      <c r="B8" s="5" t="s">
        <v>8</v>
      </c>
    </row>
    <row r="9" spans="1:14" ht="16">
      <c r="A9" s="46" t="s">
        <v>125</v>
      </c>
      <c r="B9" s="46"/>
      <c r="C9" s="47"/>
      <c r="D9" s="47"/>
      <c r="E9" s="47"/>
      <c r="F9" s="47"/>
      <c r="G9" s="47"/>
      <c r="H9" s="47"/>
      <c r="I9" s="47"/>
      <c r="J9" s="47"/>
      <c r="K9" s="47"/>
    </row>
    <row r="10" spans="1:14">
      <c r="A10" s="10" t="s">
        <v>77</v>
      </c>
      <c r="B10" s="9" t="s">
        <v>254</v>
      </c>
      <c r="C10" s="9" t="s">
        <v>408</v>
      </c>
      <c r="D10" s="9" t="s">
        <v>255</v>
      </c>
      <c r="E10" s="9" t="s">
        <v>427</v>
      </c>
      <c r="F10" s="9" t="s">
        <v>52</v>
      </c>
      <c r="G10" s="9" t="s">
        <v>362</v>
      </c>
      <c r="H10" s="19" t="s">
        <v>24</v>
      </c>
      <c r="I10" s="19" t="s">
        <v>120</v>
      </c>
      <c r="J10" s="19" t="s">
        <v>43</v>
      </c>
      <c r="K10" s="10"/>
      <c r="L10" s="10" t="str">
        <f>"120,0"</f>
        <v>120,0</v>
      </c>
      <c r="M10" s="10" t="str">
        <f>"147,1109"</f>
        <v>147,1109</v>
      </c>
      <c r="N10" s="9"/>
    </row>
    <row r="11" spans="1:14">
      <c r="B11" s="5" t="s">
        <v>8</v>
      </c>
    </row>
    <row r="12" spans="1:14" ht="16">
      <c r="A12" s="46" t="s">
        <v>12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</row>
    <row r="13" spans="1:14">
      <c r="A13" s="10" t="s">
        <v>77</v>
      </c>
      <c r="B13" s="9" t="s">
        <v>256</v>
      </c>
      <c r="C13" s="9" t="s">
        <v>409</v>
      </c>
      <c r="D13" s="9" t="s">
        <v>257</v>
      </c>
      <c r="E13" s="9" t="s">
        <v>426</v>
      </c>
      <c r="F13" s="9" t="s">
        <v>258</v>
      </c>
      <c r="G13" s="9" t="s">
        <v>362</v>
      </c>
      <c r="H13" s="20" t="s">
        <v>62</v>
      </c>
      <c r="I13" s="19" t="s">
        <v>62</v>
      </c>
      <c r="J13" s="20" t="s">
        <v>63</v>
      </c>
      <c r="K13" s="10"/>
      <c r="L13" s="10" t="str">
        <f>"210,0"</f>
        <v>210,0</v>
      </c>
      <c r="M13" s="10" t="str">
        <f>"161,5320"</f>
        <v>161,5320</v>
      </c>
      <c r="N13" s="9" t="s">
        <v>364</v>
      </c>
    </row>
    <row r="14" spans="1:14">
      <c r="B14" s="5" t="s">
        <v>8</v>
      </c>
    </row>
    <row r="15" spans="1:14" ht="16">
      <c r="A15" s="46" t="s">
        <v>125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</row>
    <row r="16" spans="1:14">
      <c r="A16" s="10" t="s">
        <v>77</v>
      </c>
      <c r="B16" s="9" t="s">
        <v>259</v>
      </c>
      <c r="C16" s="9" t="s">
        <v>260</v>
      </c>
      <c r="D16" s="9" t="s">
        <v>207</v>
      </c>
      <c r="E16" s="9" t="s">
        <v>423</v>
      </c>
      <c r="F16" s="9" t="s">
        <v>418</v>
      </c>
      <c r="G16" s="9" t="s">
        <v>353</v>
      </c>
      <c r="H16" s="19" t="s">
        <v>113</v>
      </c>
      <c r="I16" s="20" t="s">
        <v>110</v>
      </c>
      <c r="J16" s="20" t="s">
        <v>110</v>
      </c>
      <c r="K16" s="10"/>
      <c r="L16" s="10" t="str">
        <f>"125,0"</f>
        <v>125,0</v>
      </c>
      <c r="M16" s="10" t="str">
        <f>"84,6750"</f>
        <v>84,6750</v>
      </c>
      <c r="N16" s="9" t="s">
        <v>354</v>
      </c>
    </row>
    <row r="17" spans="1:14">
      <c r="B17" s="5" t="s">
        <v>8</v>
      </c>
    </row>
    <row r="18" spans="1:14" ht="16">
      <c r="A18" s="46" t="s">
        <v>25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</row>
    <row r="19" spans="1:14">
      <c r="A19" s="12" t="s">
        <v>77</v>
      </c>
      <c r="B19" s="11" t="s">
        <v>261</v>
      </c>
      <c r="C19" s="11" t="s">
        <v>410</v>
      </c>
      <c r="D19" s="11" t="s">
        <v>262</v>
      </c>
      <c r="E19" s="11" t="s">
        <v>428</v>
      </c>
      <c r="F19" s="11" t="s">
        <v>52</v>
      </c>
      <c r="G19" s="11" t="s">
        <v>362</v>
      </c>
      <c r="H19" s="26" t="s">
        <v>130</v>
      </c>
      <c r="I19" s="26" t="s">
        <v>130</v>
      </c>
      <c r="J19" s="21" t="s">
        <v>130</v>
      </c>
      <c r="K19" s="12"/>
      <c r="L19" s="12" t="str">
        <f>"185,0"</f>
        <v>185,0</v>
      </c>
      <c r="M19" s="12" t="str">
        <f>"165,2046"</f>
        <v>165,2046</v>
      </c>
      <c r="N19" s="11"/>
    </row>
    <row r="20" spans="1:14">
      <c r="A20" s="14" t="s">
        <v>78</v>
      </c>
      <c r="B20" s="13" t="s">
        <v>263</v>
      </c>
      <c r="C20" s="13" t="s">
        <v>411</v>
      </c>
      <c r="D20" s="13" t="s">
        <v>264</v>
      </c>
      <c r="E20" s="13" t="s">
        <v>428</v>
      </c>
      <c r="F20" s="13" t="s">
        <v>347</v>
      </c>
      <c r="G20" s="13" t="s">
        <v>362</v>
      </c>
      <c r="H20" s="22" t="s">
        <v>45</v>
      </c>
      <c r="I20" s="22" t="s">
        <v>64</v>
      </c>
      <c r="J20" s="22" t="s">
        <v>116</v>
      </c>
      <c r="K20" s="14"/>
      <c r="L20" s="14" t="str">
        <f>"150,0"</f>
        <v>150,0</v>
      </c>
      <c r="M20" s="14" t="str">
        <f>"145,1542"</f>
        <v>145,1542</v>
      </c>
      <c r="N20" s="13" t="s">
        <v>363</v>
      </c>
    </row>
    <row r="21" spans="1:14">
      <c r="B21" s="5" t="s">
        <v>8</v>
      </c>
    </row>
    <row r="22" spans="1:14" ht="16">
      <c r="A22" s="46" t="s">
        <v>37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</row>
    <row r="23" spans="1:14">
      <c r="A23" s="10" t="s">
        <v>77</v>
      </c>
      <c r="B23" s="9" t="s">
        <v>265</v>
      </c>
      <c r="C23" s="9" t="s">
        <v>412</v>
      </c>
      <c r="D23" s="9" t="s">
        <v>266</v>
      </c>
      <c r="E23" s="9" t="s">
        <v>428</v>
      </c>
      <c r="F23" s="9" t="s">
        <v>52</v>
      </c>
      <c r="G23" s="9" t="s">
        <v>362</v>
      </c>
      <c r="H23" s="19" t="s">
        <v>116</v>
      </c>
      <c r="I23" s="20" t="s">
        <v>40</v>
      </c>
      <c r="J23" s="10"/>
      <c r="K23" s="10"/>
      <c r="L23" s="10" t="str">
        <f>"150,0"</f>
        <v>150,0</v>
      </c>
      <c r="M23" s="10" t="str">
        <f>"132,0606"</f>
        <v>132,0606</v>
      </c>
      <c r="N23" s="9"/>
    </row>
    <row r="24" spans="1:14">
      <c r="B24" s="5" t="s">
        <v>8</v>
      </c>
    </row>
    <row r="25" spans="1:14" ht="16">
      <c r="A25" s="46" t="s">
        <v>48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</row>
    <row r="26" spans="1:14">
      <c r="A26" s="10" t="s">
        <v>77</v>
      </c>
      <c r="B26" s="9" t="s">
        <v>49</v>
      </c>
      <c r="C26" s="9" t="s">
        <v>50</v>
      </c>
      <c r="D26" s="9" t="s">
        <v>51</v>
      </c>
      <c r="E26" s="9" t="s">
        <v>423</v>
      </c>
      <c r="F26" s="9" t="s">
        <v>52</v>
      </c>
      <c r="G26" s="9" t="s">
        <v>362</v>
      </c>
      <c r="H26" s="19" t="s">
        <v>56</v>
      </c>
      <c r="I26" s="19" t="s">
        <v>57</v>
      </c>
      <c r="J26" s="19" t="s">
        <v>58</v>
      </c>
      <c r="K26" s="10"/>
      <c r="L26" s="10" t="str">
        <f>"330,0"</f>
        <v>330,0</v>
      </c>
      <c r="M26" s="10" t="str">
        <f>"195,2610"</f>
        <v>195,2610</v>
      </c>
      <c r="N26" s="9"/>
    </row>
    <row r="27" spans="1:14">
      <c r="B27" s="5" t="s">
        <v>8</v>
      </c>
    </row>
  </sheetData>
  <mergeCells count="19">
    <mergeCell ref="A1:N2"/>
    <mergeCell ref="A3:A4"/>
    <mergeCell ref="C3:C4"/>
    <mergeCell ref="D3:D4"/>
    <mergeCell ref="E3:E4"/>
    <mergeCell ref="F3:F4"/>
    <mergeCell ref="G3:G4"/>
    <mergeCell ref="H3:K3"/>
    <mergeCell ref="A25:K25"/>
    <mergeCell ref="L3:L4"/>
    <mergeCell ref="M3:M4"/>
    <mergeCell ref="N3:N4"/>
    <mergeCell ref="A5:K5"/>
    <mergeCell ref="B3:B4"/>
    <mergeCell ref="A9:K9"/>
    <mergeCell ref="A12:K12"/>
    <mergeCell ref="A15:K15"/>
    <mergeCell ref="A18:K18"/>
    <mergeCell ref="A22:K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CD26-82D3-45AC-BD58-836C435DAF0C}">
  <dimension ref="A1:N7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9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8.1640625" style="5" bestFit="1" customWidth="1"/>
    <col min="8" max="10" width="5.6640625" style="6" customWidth="1"/>
    <col min="11" max="11" width="4.83203125" style="6" customWidth="1"/>
    <col min="12" max="12" width="10.5" style="6" bestFit="1" customWidth="1"/>
    <col min="13" max="13" width="8.83203125" style="6" bestFit="1" customWidth="1"/>
    <col min="14" max="14" width="20" style="5" customWidth="1"/>
    <col min="15" max="16384" width="9.1640625" style="3"/>
  </cols>
  <sheetData>
    <row r="1" spans="1:14" s="2" customFormat="1" ht="29" customHeight="1">
      <c r="A1" s="56" t="s">
        <v>390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>
      <c r="A3" s="64"/>
      <c r="B3" s="48" t="s">
        <v>0</v>
      </c>
      <c r="C3" s="66" t="s">
        <v>420</v>
      </c>
      <c r="D3" s="66" t="s">
        <v>6</v>
      </c>
      <c r="E3" s="50" t="s">
        <v>421</v>
      </c>
      <c r="F3" s="50"/>
      <c r="G3" s="50" t="s">
        <v>5</v>
      </c>
      <c r="H3" s="50" t="s">
        <v>11</v>
      </c>
      <c r="I3" s="50"/>
      <c r="J3" s="50"/>
      <c r="K3" s="50"/>
      <c r="L3" s="50" t="s">
        <v>169</v>
      </c>
      <c r="M3" s="50" t="s">
        <v>3</v>
      </c>
      <c r="N3" s="52" t="s">
        <v>2</v>
      </c>
    </row>
    <row r="4" spans="1:14" s="1" customFormat="1" ht="21" customHeight="1" thickBot="1">
      <c r="A4" s="65"/>
      <c r="B4" s="49"/>
      <c r="C4" s="51"/>
      <c r="D4" s="51"/>
      <c r="E4" s="51"/>
      <c r="F4" s="51"/>
      <c r="G4" s="51"/>
      <c r="H4" s="4">
        <v>1</v>
      </c>
      <c r="I4" s="4">
        <v>2</v>
      </c>
      <c r="J4" s="4">
        <v>3</v>
      </c>
      <c r="K4" s="4" t="s">
        <v>4</v>
      </c>
      <c r="L4" s="51"/>
      <c r="M4" s="51"/>
      <c r="N4" s="53"/>
    </row>
    <row r="5" spans="1:14" ht="16">
      <c r="A5" s="54" t="s">
        <v>149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10" t="s">
        <v>77</v>
      </c>
      <c r="B6" s="9" t="s">
        <v>312</v>
      </c>
      <c r="C6" s="9" t="s">
        <v>413</v>
      </c>
      <c r="D6" s="9" t="s">
        <v>286</v>
      </c>
      <c r="E6" s="9" t="s">
        <v>424</v>
      </c>
      <c r="F6" s="9" t="s">
        <v>348</v>
      </c>
      <c r="G6" s="9" t="s">
        <v>313</v>
      </c>
      <c r="H6" s="19" t="s">
        <v>66</v>
      </c>
      <c r="I6" s="19" t="s">
        <v>34</v>
      </c>
      <c r="J6" s="19" t="s">
        <v>228</v>
      </c>
      <c r="K6" s="10"/>
      <c r="L6" s="10" t="str">
        <f>"177,5"</f>
        <v>177,5</v>
      </c>
      <c r="M6" s="10" t="str">
        <f>"183,1268"</f>
        <v>183,1268</v>
      </c>
      <c r="N6" s="9" t="s">
        <v>355</v>
      </c>
    </row>
    <row r="7" spans="1:14">
      <c r="B7" s="5" t="s">
        <v>8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8521-4970-4CD9-A973-3168B65D83DB}">
  <dimension ref="A1:N27"/>
  <sheetViews>
    <sheetView tabSelected="1" workbookViewId="0">
      <selection sqref="A1:N2"/>
    </sheetView>
  </sheetViews>
  <sheetFormatPr baseColWidth="10" defaultColWidth="9.1640625" defaultRowHeight="13"/>
  <cols>
    <col min="1" max="1" width="7.5" style="33" bestFit="1" customWidth="1"/>
    <col min="2" max="2" width="19.6640625" style="33" bestFit="1" customWidth="1"/>
    <col min="3" max="3" width="29.5" style="33" bestFit="1" customWidth="1"/>
    <col min="4" max="4" width="21.5" style="33" bestFit="1" customWidth="1"/>
    <col min="5" max="5" width="10.5" style="33" bestFit="1" customWidth="1"/>
    <col min="6" max="6" width="25.6640625" style="33" bestFit="1" customWidth="1"/>
    <col min="7" max="7" width="34.83203125" style="33" bestFit="1" customWidth="1"/>
    <col min="8" max="10" width="4.6640625" style="32" customWidth="1"/>
    <col min="11" max="11" width="4.83203125" style="32" customWidth="1"/>
    <col min="12" max="12" width="10.5" style="32" bestFit="1" customWidth="1"/>
    <col min="13" max="13" width="7.83203125" style="32" bestFit="1" customWidth="1"/>
    <col min="14" max="14" width="20.33203125" style="33" customWidth="1"/>
    <col min="15" max="16384" width="9.1640625" style="34"/>
  </cols>
  <sheetData>
    <row r="1" spans="1:14" s="29" customFormat="1" ht="29" customHeight="1">
      <c r="A1" s="72" t="s">
        <v>391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s="29" customFormat="1" ht="62" customHeight="1" thickBot="1">
      <c r="A2" s="76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 s="30" customFormat="1" ht="12.75" customHeight="1">
      <c r="A3" s="80"/>
      <c r="B3" s="82" t="s">
        <v>0</v>
      </c>
      <c r="C3" s="83" t="s">
        <v>420</v>
      </c>
      <c r="D3" s="83" t="s">
        <v>6</v>
      </c>
      <c r="E3" s="68" t="s">
        <v>421</v>
      </c>
      <c r="F3" s="68"/>
      <c r="G3" s="68" t="s">
        <v>5</v>
      </c>
      <c r="H3" s="68" t="s">
        <v>419</v>
      </c>
      <c r="I3" s="68"/>
      <c r="J3" s="68"/>
      <c r="K3" s="68"/>
      <c r="L3" s="68" t="s">
        <v>169</v>
      </c>
      <c r="M3" s="68" t="s">
        <v>3</v>
      </c>
      <c r="N3" s="70" t="s">
        <v>2</v>
      </c>
    </row>
    <row r="4" spans="1:14" s="30" customFormat="1" ht="21" customHeight="1" thickBot="1">
      <c r="A4" s="81"/>
      <c r="B4" s="49"/>
      <c r="C4" s="69"/>
      <c r="D4" s="69"/>
      <c r="E4" s="69"/>
      <c r="F4" s="69"/>
      <c r="G4" s="69"/>
      <c r="H4" s="31">
        <v>1</v>
      </c>
      <c r="I4" s="31">
        <v>2</v>
      </c>
      <c r="J4" s="31">
        <v>3</v>
      </c>
      <c r="K4" s="31" t="s">
        <v>4</v>
      </c>
      <c r="L4" s="69"/>
      <c r="M4" s="69"/>
      <c r="N4" s="71"/>
    </row>
    <row r="5" spans="1:14" ht="16">
      <c r="A5" s="55" t="s">
        <v>79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35" t="s">
        <v>77</v>
      </c>
      <c r="B6" s="36" t="s">
        <v>171</v>
      </c>
      <c r="C6" s="36" t="s">
        <v>414</v>
      </c>
      <c r="D6" s="36" t="s">
        <v>172</v>
      </c>
      <c r="E6" s="36" t="s">
        <v>424</v>
      </c>
      <c r="F6" s="36" t="s">
        <v>346</v>
      </c>
      <c r="G6" s="36" t="s">
        <v>362</v>
      </c>
      <c r="H6" s="19" t="s">
        <v>331</v>
      </c>
      <c r="I6" s="19" t="s">
        <v>332</v>
      </c>
      <c r="J6" s="43" t="s">
        <v>333</v>
      </c>
      <c r="K6" s="35"/>
      <c r="L6" s="35" t="str">
        <f>"22,5"</f>
        <v>22,5</v>
      </c>
      <c r="M6" s="35" t="str">
        <f>"30,8398"</f>
        <v>30,8398</v>
      </c>
      <c r="N6" s="36" t="s">
        <v>364</v>
      </c>
    </row>
    <row r="7" spans="1:14">
      <c r="B7" s="33" t="s">
        <v>8</v>
      </c>
    </row>
    <row r="8" spans="1:14" ht="16">
      <c r="A8" s="47" t="s">
        <v>149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4">
      <c r="A9" s="35" t="s">
        <v>77</v>
      </c>
      <c r="B9" s="36" t="s">
        <v>334</v>
      </c>
      <c r="C9" s="36" t="s">
        <v>335</v>
      </c>
      <c r="D9" s="36" t="s">
        <v>336</v>
      </c>
      <c r="E9" s="36" t="s">
        <v>423</v>
      </c>
      <c r="F9" s="36" t="s">
        <v>347</v>
      </c>
      <c r="G9" s="36" t="s">
        <v>353</v>
      </c>
      <c r="H9" s="19" t="s">
        <v>174</v>
      </c>
      <c r="I9" s="19" t="s">
        <v>19</v>
      </c>
      <c r="J9" s="19" t="s">
        <v>87</v>
      </c>
      <c r="K9" s="35"/>
      <c r="L9" s="35" t="str">
        <f>"50,0"</f>
        <v>50,0</v>
      </c>
      <c r="M9" s="35" t="str">
        <f>"38,8225"</f>
        <v>38,8225</v>
      </c>
      <c r="N9" s="36"/>
    </row>
    <row r="10" spans="1:14">
      <c r="B10" s="33" t="s">
        <v>8</v>
      </c>
    </row>
    <row r="11" spans="1:14" ht="16">
      <c r="A11" s="47" t="s">
        <v>12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4">
      <c r="A12" s="35" t="s">
        <v>77</v>
      </c>
      <c r="B12" s="36" t="s">
        <v>203</v>
      </c>
      <c r="C12" s="36" t="s">
        <v>415</v>
      </c>
      <c r="D12" s="36" t="s">
        <v>204</v>
      </c>
      <c r="E12" s="36" t="s">
        <v>424</v>
      </c>
      <c r="F12" s="36" t="s">
        <v>348</v>
      </c>
      <c r="G12" s="36" t="s">
        <v>353</v>
      </c>
      <c r="H12" s="19" t="s">
        <v>19</v>
      </c>
      <c r="I12" s="19" t="s">
        <v>86</v>
      </c>
      <c r="J12" s="19" t="s">
        <v>87</v>
      </c>
      <c r="K12" s="35"/>
      <c r="L12" s="35" t="str">
        <f>"50,0"</f>
        <v>50,0</v>
      </c>
      <c r="M12" s="35" t="str">
        <f>"36,3125"</f>
        <v>36,3125</v>
      </c>
      <c r="N12" s="36"/>
    </row>
    <row r="13" spans="1:14">
      <c r="B13" s="33" t="s">
        <v>8</v>
      </c>
    </row>
    <row r="14" spans="1:14" ht="16">
      <c r="A14" s="47" t="s">
        <v>125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4">
      <c r="A15" s="37" t="s">
        <v>77</v>
      </c>
      <c r="B15" s="38" t="s">
        <v>337</v>
      </c>
      <c r="C15" s="38" t="s">
        <v>338</v>
      </c>
      <c r="D15" s="38" t="s">
        <v>339</v>
      </c>
      <c r="E15" s="38" t="s">
        <v>423</v>
      </c>
      <c r="F15" s="38" t="s">
        <v>133</v>
      </c>
      <c r="G15" s="38" t="s">
        <v>134</v>
      </c>
      <c r="H15" s="39" t="s">
        <v>87</v>
      </c>
      <c r="I15" s="21" t="s">
        <v>21</v>
      </c>
      <c r="J15" s="39" t="s">
        <v>179</v>
      </c>
      <c r="K15" s="37"/>
      <c r="L15" s="37" t="str">
        <f>"55,0"</f>
        <v>55,0</v>
      </c>
      <c r="M15" s="37" t="str">
        <f>"36,1185"</f>
        <v>36,1185</v>
      </c>
      <c r="N15" s="38"/>
    </row>
    <row r="16" spans="1:14">
      <c r="A16" s="44" t="s">
        <v>78</v>
      </c>
      <c r="B16" s="45" t="s">
        <v>205</v>
      </c>
      <c r="C16" s="45" t="s">
        <v>206</v>
      </c>
      <c r="D16" s="45" t="s">
        <v>207</v>
      </c>
      <c r="E16" s="45" t="s">
        <v>423</v>
      </c>
      <c r="F16" s="45" t="s">
        <v>348</v>
      </c>
      <c r="G16" s="45" t="s">
        <v>353</v>
      </c>
      <c r="H16" s="27" t="s">
        <v>96</v>
      </c>
      <c r="I16" s="27" t="s">
        <v>19</v>
      </c>
      <c r="J16" s="27" t="s">
        <v>87</v>
      </c>
      <c r="K16" s="44"/>
      <c r="L16" s="44" t="str">
        <f>"50,0"</f>
        <v>50,0</v>
      </c>
      <c r="M16" s="44" t="str">
        <f>"32,6175"</f>
        <v>32,6175</v>
      </c>
      <c r="N16" s="45"/>
    </row>
    <row r="17" spans="1:14">
      <c r="A17" s="40" t="s">
        <v>77</v>
      </c>
      <c r="B17" s="41" t="s">
        <v>208</v>
      </c>
      <c r="C17" s="41" t="s">
        <v>416</v>
      </c>
      <c r="D17" s="41" t="s">
        <v>209</v>
      </c>
      <c r="E17" s="41" t="s">
        <v>424</v>
      </c>
      <c r="F17" s="41" t="s">
        <v>210</v>
      </c>
      <c r="G17" s="41" t="s">
        <v>353</v>
      </c>
      <c r="H17" s="42" t="s">
        <v>17</v>
      </c>
      <c r="I17" s="42" t="s">
        <v>17</v>
      </c>
      <c r="J17" s="22" t="s">
        <v>84</v>
      </c>
      <c r="K17" s="40"/>
      <c r="L17" s="40" t="str">
        <f>"65,0"</f>
        <v>65,0</v>
      </c>
      <c r="M17" s="40" t="str">
        <f>"45,6618"</f>
        <v>45,6618</v>
      </c>
      <c r="N17" s="41"/>
    </row>
    <row r="18" spans="1:14">
      <c r="B18" s="33" t="s">
        <v>8</v>
      </c>
    </row>
    <row r="19" spans="1:14" ht="16">
      <c r="A19" s="47" t="s">
        <v>25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4">
      <c r="A20" s="35" t="s">
        <v>77</v>
      </c>
      <c r="B20" s="36" t="s">
        <v>340</v>
      </c>
      <c r="C20" s="36" t="s">
        <v>341</v>
      </c>
      <c r="D20" s="36" t="s">
        <v>342</v>
      </c>
      <c r="E20" s="36" t="s">
        <v>423</v>
      </c>
      <c r="F20" s="36" t="s">
        <v>133</v>
      </c>
      <c r="G20" s="36" t="s">
        <v>134</v>
      </c>
      <c r="H20" s="19" t="s">
        <v>86</v>
      </c>
      <c r="I20" s="19" t="s">
        <v>20</v>
      </c>
      <c r="J20" s="19" t="s">
        <v>179</v>
      </c>
      <c r="K20" s="35"/>
      <c r="L20" s="35" t="str">
        <f>"57,5"</f>
        <v>57,5</v>
      </c>
      <c r="M20" s="35" t="str">
        <f>"35,4947"</f>
        <v>35,4947</v>
      </c>
      <c r="N20" s="36"/>
    </row>
    <row r="21" spans="1:14">
      <c r="B21" s="33" t="s">
        <v>8</v>
      </c>
    </row>
    <row r="22" spans="1:14" ht="16">
      <c r="A22" s="47" t="s">
        <v>37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4">
      <c r="A23" s="35" t="s">
        <v>77</v>
      </c>
      <c r="B23" s="36" t="s">
        <v>221</v>
      </c>
      <c r="C23" s="36" t="s">
        <v>222</v>
      </c>
      <c r="D23" s="36" t="s">
        <v>223</v>
      </c>
      <c r="E23" s="36" t="s">
        <v>423</v>
      </c>
      <c r="F23" s="36" t="s">
        <v>348</v>
      </c>
      <c r="G23" s="36" t="s">
        <v>224</v>
      </c>
      <c r="H23" s="19" t="s">
        <v>18</v>
      </c>
      <c r="I23" s="43" t="s">
        <v>85</v>
      </c>
      <c r="J23" s="19" t="s">
        <v>85</v>
      </c>
      <c r="K23" s="35"/>
      <c r="L23" s="35" t="str">
        <f>"75,0"</f>
        <v>75,0</v>
      </c>
      <c r="M23" s="35" t="str">
        <f>"44,3100"</f>
        <v>44,3100</v>
      </c>
      <c r="N23" s="36"/>
    </row>
    <row r="24" spans="1:14">
      <c r="B24" s="33" t="s">
        <v>8</v>
      </c>
    </row>
    <row r="25" spans="1:14" ht="16">
      <c r="A25" s="47" t="s">
        <v>48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4">
      <c r="A26" s="35" t="s">
        <v>77</v>
      </c>
      <c r="B26" s="36" t="s">
        <v>343</v>
      </c>
      <c r="C26" s="36" t="s">
        <v>344</v>
      </c>
      <c r="D26" s="36" t="s">
        <v>345</v>
      </c>
      <c r="E26" s="36" t="s">
        <v>423</v>
      </c>
      <c r="F26" s="36" t="s">
        <v>133</v>
      </c>
      <c r="G26" s="36" t="s">
        <v>134</v>
      </c>
      <c r="H26" s="19" t="s">
        <v>87</v>
      </c>
      <c r="I26" s="19" t="s">
        <v>17</v>
      </c>
      <c r="J26" s="19" t="s">
        <v>84</v>
      </c>
      <c r="K26" s="35"/>
      <c r="L26" s="35" t="str">
        <f>"65,0"</f>
        <v>65,0</v>
      </c>
      <c r="M26" s="35" t="str">
        <f>"37,0338"</f>
        <v>37,0338</v>
      </c>
      <c r="N26" s="36"/>
    </row>
    <row r="27" spans="1:14">
      <c r="B27" s="33" t="s">
        <v>8</v>
      </c>
    </row>
  </sheetData>
  <mergeCells count="19">
    <mergeCell ref="A19:K19"/>
    <mergeCell ref="A22:K22"/>
    <mergeCell ref="A25:K25"/>
    <mergeCell ref="M3:M4"/>
    <mergeCell ref="N3:N4"/>
    <mergeCell ref="A5:K5"/>
    <mergeCell ref="A8:K8"/>
    <mergeCell ref="A11:K11"/>
    <mergeCell ref="A14:K14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Двоеборье экип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IPL Тяга без экипировки ДК</vt:lpstr>
      <vt:lpstr>IPL Тяга без экипировки</vt:lpstr>
      <vt:lpstr>IPL Тяга однослой</vt:lpstr>
      <vt:lpstr>СПР Подъем на бицепс 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2021-07-18T12:31:29Z</dcterms:modified>
</cp:coreProperties>
</file>