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Сентябрь/"/>
    </mc:Choice>
  </mc:AlternateContent>
  <xr:revisionPtr revIDLastSave="0" documentId="13_ncr:1_{FB3DE665-C08D-B143-A185-368C104C3F60}" xr6:coauthVersionLast="45" xr6:coauthVersionMax="45" xr10:uidLastSave="{00000000-0000-0000-0000-000000000000}"/>
  <bookViews>
    <workbookView xWindow="480" yWindow="460" windowWidth="27960" windowHeight="15600" xr2:uid="{00000000-000D-0000-FFFF-FFFF00000000}"/>
  </bookViews>
  <sheets>
    <sheet name="WRPF ПЛ без экипировки ДК" sheetId="8" r:id="rId1"/>
    <sheet name="WRPF ПЛ без экипировки" sheetId="7" r:id="rId2"/>
    <sheet name="WRPF Двоеборье без экип ДК" sheetId="15" r:id="rId3"/>
    <sheet name="WRPF Жим лежа без экип ДК" sheetId="11" r:id="rId4"/>
    <sheet name="WRPF Жим лежа без экип" sheetId="10" r:id="rId5"/>
    <sheet name="WEPF Жим софт однопетельная ДК" sheetId="12" r:id="rId6"/>
    <sheet name="WEPF Жим софт однопетельная" sheetId="9" r:id="rId7"/>
    <sheet name="WRPF Народный 1 вес" sheetId="16" r:id="rId8"/>
    <sheet name="WRPF Народный 1_2 веса" sheetId="17" r:id="rId9"/>
    <sheet name="WRPF Жим СФО" sheetId="21" r:id="rId10"/>
    <sheet name="WRPF Тяга без экипировки ДК" sheetId="14" r:id="rId11"/>
    <sheet name="WRPF Тяга без экипировки" sheetId="13" r:id="rId12"/>
    <sheet name="WRPF Подъем на бицепс" sheetId="20" r:id="rId1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21" l="1"/>
  <c r="K24" i="21"/>
  <c r="L21" i="21"/>
  <c r="K21" i="21"/>
  <c r="L20" i="21"/>
  <c r="K20" i="21"/>
  <c r="L19" i="21"/>
  <c r="K19" i="21"/>
  <c r="L16" i="21"/>
  <c r="K16" i="21"/>
  <c r="L15" i="21"/>
  <c r="K15" i="21"/>
  <c r="L12" i="21"/>
  <c r="K12" i="21"/>
  <c r="L9" i="21"/>
  <c r="K9" i="21"/>
  <c r="L6" i="21"/>
  <c r="K6" i="21"/>
  <c r="L6" i="20"/>
  <c r="K6" i="20"/>
  <c r="J13" i="17"/>
  <c r="I13" i="17"/>
  <c r="J12" i="17"/>
  <c r="I12" i="17"/>
  <c r="J9" i="17"/>
  <c r="I9" i="17"/>
  <c r="J6" i="17"/>
  <c r="I6" i="17"/>
  <c r="J9" i="16"/>
  <c r="I9" i="16"/>
  <c r="J6" i="16"/>
  <c r="I6" i="16"/>
  <c r="P6" i="15"/>
  <c r="O6" i="15"/>
  <c r="L14" i="14"/>
  <c r="K14" i="14"/>
  <c r="L11" i="14"/>
  <c r="K11" i="14"/>
  <c r="L10" i="14"/>
  <c r="K10" i="14"/>
  <c r="L9" i="14"/>
  <c r="K9" i="14"/>
  <c r="L6" i="14"/>
  <c r="K6" i="14"/>
  <c r="L19" i="13"/>
  <c r="K19" i="13"/>
  <c r="L16" i="13"/>
  <c r="K16" i="13"/>
  <c r="L15" i="13"/>
  <c r="K15" i="13"/>
  <c r="L12" i="13"/>
  <c r="K12" i="13"/>
  <c r="L9" i="13"/>
  <c r="K9" i="13"/>
  <c r="L6" i="13"/>
  <c r="K6" i="13"/>
  <c r="L17" i="12"/>
  <c r="K17" i="12"/>
  <c r="L14" i="12"/>
  <c r="K14" i="12"/>
  <c r="L13" i="12"/>
  <c r="K13" i="12"/>
  <c r="L12" i="12"/>
  <c r="K12" i="12"/>
  <c r="L9" i="12"/>
  <c r="K9" i="12"/>
  <c r="L6" i="12"/>
  <c r="K6" i="12"/>
  <c r="L25" i="11"/>
  <c r="K25" i="11"/>
  <c r="L24" i="11"/>
  <c r="K24" i="11"/>
  <c r="L21" i="11"/>
  <c r="K21" i="11"/>
  <c r="L18" i="11"/>
  <c r="K18" i="11"/>
  <c r="L17" i="11"/>
  <c r="K17" i="11"/>
  <c r="L14" i="11"/>
  <c r="K14" i="11"/>
  <c r="L13" i="11"/>
  <c r="K13" i="11"/>
  <c r="L12" i="11"/>
  <c r="K12" i="11"/>
  <c r="L11" i="11"/>
  <c r="K11" i="11"/>
  <c r="L8" i="11"/>
  <c r="K8" i="11"/>
  <c r="L7" i="11"/>
  <c r="K7" i="11"/>
  <c r="L6" i="11"/>
  <c r="K6" i="11"/>
  <c r="L33" i="10"/>
  <c r="K33" i="10"/>
  <c r="L30" i="10"/>
  <c r="K30" i="10"/>
  <c r="L29" i="10"/>
  <c r="K29" i="10"/>
  <c r="L28" i="10"/>
  <c r="K28" i="10"/>
  <c r="L25" i="10"/>
  <c r="K25" i="10"/>
  <c r="L24" i="10"/>
  <c r="K24" i="10"/>
  <c r="L23" i="10"/>
  <c r="K23" i="10"/>
  <c r="L20" i="10"/>
  <c r="K20" i="10"/>
  <c r="L17" i="10"/>
  <c r="K17" i="10"/>
  <c r="L16" i="10"/>
  <c r="K16" i="10"/>
  <c r="L13" i="10"/>
  <c r="K13" i="10"/>
  <c r="L10" i="10"/>
  <c r="K10" i="10"/>
  <c r="L7" i="10"/>
  <c r="K7" i="10"/>
  <c r="L6" i="10"/>
  <c r="K6" i="10"/>
  <c r="L13" i="9"/>
  <c r="K13" i="9"/>
  <c r="L12" i="9"/>
  <c r="K12" i="9"/>
  <c r="L9" i="9"/>
  <c r="L6" i="9"/>
  <c r="K6" i="9"/>
  <c r="T17" i="8"/>
  <c r="S17" i="8"/>
  <c r="T16" i="8"/>
  <c r="S16" i="8"/>
  <c r="T13" i="8"/>
  <c r="S13" i="8"/>
  <c r="T12" i="8"/>
  <c r="S12" i="8"/>
  <c r="T9" i="8"/>
  <c r="S9" i="8"/>
  <c r="T6" i="8"/>
  <c r="S6" i="8"/>
  <c r="T16" i="7"/>
  <c r="S16" i="7"/>
  <c r="T13" i="7"/>
  <c r="S13" i="7"/>
  <c r="T12" i="7"/>
  <c r="S12" i="7"/>
  <c r="T9" i="7"/>
  <c r="S9" i="7"/>
  <c r="T6" i="7"/>
  <c r="S6" i="7"/>
</calcChain>
</file>

<file path=xl/sharedStrings.xml><?xml version="1.0" encoding="utf-8"?>
<sst xmlns="http://schemas.openxmlformats.org/spreadsheetml/2006/main" count="1070" uniqueCount="385">
  <si>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</si>
  <si>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</si>
  <si>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</si>
  <si>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</si>
  <si>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</si>
  <si>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</si>
  <si>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</si>
  <si>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</si>
  <si>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</si>
  <si>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</si>
  <si>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</si>
  <si>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</si>
  <si>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</si>
  <si>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</si>
  <si>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67.5</t>
  </si>
  <si>
    <t>Козлова Варвара</t>
  </si>
  <si>
    <t>Открытая (03.01.1998)/23</t>
  </si>
  <si>
    <t>66,50</t>
  </si>
  <si>
    <t xml:space="preserve">Пермь/Пермский край </t>
  </si>
  <si>
    <t>135,0</t>
  </si>
  <si>
    <t>140,0</t>
  </si>
  <si>
    <t>70,0</t>
  </si>
  <si>
    <t>75,0</t>
  </si>
  <si>
    <t>77,5</t>
  </si>
  <si>
    <t>147,5</t>
  </si>
  <si>
    <t>150,0</t>
  </si>
  <si>
    <t>ВЕСОВАЯ КАТЕГОРИЯ   90</t>
  </si>
  <si>
    <t>Дёмина Анна</t>
  </si>
  <si>
    <t>Открытая (24.09.1996)/24</t>
  </si>
  <si>
    <t>88,20</t>
  </si>
  <si>
    <t>155,0</t>
  </si>
  <si>
    <t>165,0</t>
  </si>
  <si>
    <t>80,0</t>
  </si>
  <si>
    <t>87,5</t>
  </si>
  <si>
    <t>95,0</t>
  </si>
  <si>
    <t>170,0</t>
  </si>
  <si>
    <t>182,5</t>
  </si>
  <si>
    <t>190,0</t>
  </si>
  <si>
    <t>Фуражков Данила</t>
  </si>
  <si>
    <t>Открытая (22.03.1998)/23</t>
  </si>
  <si>
    <t>88,30</t>
  </si>
  <si>
    <t>220,0</t>
  </si>
  <si>
    <t>227,5</t>
  </si>
  <si>
    <t>235,0</t>
  </si>
  <si>
    <t>162,5</t>
  </si>
  <si>
    <t>245,0</t>
  </si>
  <si>
    <t>267,5</t>
  </si>
  <si>
    <t xml:space="preserve">Бебенин Г. </t>
  </si>
  <si>
    <t>Верхоланцев Алексей</t>
  </si>
  <si>
    <t>Открытая (21.06.1989)/32</t>
  </si>
  <si>
    <t>90,00</t>
  </si>
  <si>
    <t>225,0</t>
  </si>
  <si>
    <t>232,5</t>
  </si>
  <si>
    <t>242,5</t>
  </si>
  <si>
    <t>145,0</t>
  </si>
  <si>
    <t>230,0</t>
  </si>
  <si>
    <t>237,5</t>
  </si>
  <si>
    <t>ВЕСОВАЯ КАТЕГОРИЯ   100</t>
  </si>
  <si>
    <t>Усов Степан</t>
  </si>
  <si>
    <t>Открытая (24.05.1996)/25</t>
  </si>
  <si>
    <t>98,60</t>
  </si>
  <si>
    <t>240,0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</si>
  <si>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</si>
  <si>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</si>
  <si>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</si>
  <si>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</si>
  <si>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</si>
  <si>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 xml:space="preserve">Мужчины </t>
  </si>
  <si>
    <t>100</t>
  </si>
  <si>
    <t>1</t>
  </si>
  <si>
    <t>2</t>
  </si>
  <si>
    <t>ВЕСОВАЯ КАТЕГОРИЯ   52</t>
  </si>
  <si>
    <t>Соловьева Мария</t>
  </si>
  <si>
    <t>Открытая (22.11.1988)/32</t>
  </si>
  <si>
    <t>52,00</t>
  </si>
  <si>
    <t>105,0</t>
  </si>
  <si>
    <t>107,5</t>
  </si>
  <si>
    <t>110,0</t>
  </si>
  <si>
    <t>55,0</t>
  </si>
  <si>
    <t>57,5</t>
  </si>
  <si>
    <t>60,0</t>
  </si>
  <si>
    <t>115,0</t>
  </si>
  <si>
    <t>120,0</t>
  </si>
  <si>
    <t>ВЕСОВАЯ КАТЕГОРИЯ   56</t>
  </si>
  <si>
    <t>Мальцев Егор</t>
  </si>
  <si>
    <t>Юноши 17-19 (19.03.2002)/19</t>
  </si>
  <si>
    <t>55,40</t>
  </si>
  <si>
    <t>90,0</t>
  </si>
  <si>
    <t>65,0</t>
  </si>
  <si>
    <t>100,0</t>
  </si>
  <si>
    <t xml:space="preserve">Крутиков А. </t>
  </si>
  <si>
    <t>ВЕСОВАЯ КАТЕГОРИЯ   82.5</t>
  </si>
  <si>
    <t>Хисматуллин Марат</t>
  </si>
  <si>
    <t>Открытая (08.02.1975)/46</t>
  </si>
  <si>
    <t>80,10</t>
  </si>
  <si>
    <t>160,0</t>
  </si>
  <si>
    <t>175,0</t>
  </si>
  <si>
    <t>180,0</t>
  </si>
  <si>
    <t xml:space="preserve">Петров В. </t>
  </si>
  <si>
    <t>Мастера 40-49 (08.02.1975)/46</t>
  </si>
  <si>
    <t>Петров Владимир</t>
  </si>
  <si>
    <t>Открытая (17.07.1967)/54</t>
  </si>
  <si>
    <t>99,40</t>
  </si>
  <si>
    <t>205,0</t>
  </si>
  <si>
    <t>215,0</t>
  </si>
  <si>
    <t>Мастера 50-59 (17.07.1967)/54</t>
  </si>
  <si>
    <t>ВЕСОВАЯ КАТЕГОРИЯ   75</t>
  </si>
  <si>
    <t>Попов Максим</t>
  </si>
  <si>
    <t>Мастера 40-49 (18.09.1979)/42</t>
  </si>
  <si>
    <t>73,95</t>
  </si>
  <si>
    <t xml:space="preserve">Нытва/Пермский край </t>
  </si>
  <si>
    <t>Березин Николай</t>
  </si>
  <si>
    <t>Открытая (09.08.1984)/37</t>
  </si>
  <si>
    <t>95,40</t>
  </si>
  <si>
    <t>200,0</t>
  </si>
  <si>
    <t>ВЕСОВАЯ КАТЕГОРИЯ   110</t>
  </si>
  <si>
    <t>Койков Егор</t>
  </si>
  <si>
    <t>Открытая (27.03.1985)/36</t>
  </si>
  <si>
    <t>106,00</t>
  </si>
  <si>
    <t>295,0</t>
  </si>
  <si>
    <t>305,0</t>
  </si>
  <si>
    <t>315,0</t>
  </si>
  <si>
    <t>Кургульский Денис</t>
  </si>
  <si>
    <t>Мастера 40-49 (11.02.1976)/45</t>
  </si>
  <si>
    <t>102,55</t>
  </si>
  <si>
    <t>222,5</t>
  </si>
  <si>
    <t xml:space="preserve">Результат </t>
  </si>
  <si>
    <t>110</t>
  </si>
  <si>
    <t>Результат</t>
  </si>
  <si>
    <t>-</t>
  </si>
  <si>
    <t>Шляпникова Мария</t>
  </si>
  <si>
    <t>Открытая (26.08.1984)/37</t>
  </si>
  <si>
    <t>56,00</t>
  </si>
  <si>
    <t xml:space="preserve">Москва </t>
  </si>
  <si>
    <t xml:space="preserve">Баландин С. </t>
  </si>
  <si>
    <t>Василькова Наталья</t>
  </si>
  <si>
    <t>Открытая (04.09.1986)/35</t>
  </si>
  <si>
    <t>55,50</t>
  </si>
  <si>
    <t>35,0</t>
  </si>
  <si>
    <t>37,5</t>
  </si>
  <si>
    <t>40,0</t>
  </si>
  <si>
    <t>ВЕСОВАЯ КАТЕГОРИЯ   60</t>
  </si>
  <si>
    <t>Шаламова Ольга</t>
  </si>
  <si>
    <t>Мастера 40-49 (15.09.1977)/44</t>
  </si>
  <si>
    <t>58,90</t>
  </si>
  <si>
    <t>45,0</t>
  </si>
  <si>
    <t>47,5</t>
  </si>
  <si>
    <t>50,0</t>
  </si>
  <si>
    <t>Пан Наталья</t>
  </si>
  <si>
    <t>Открытая (19.09.1994)/26</t>
  </si>
  <si>
    <t>64,90</t>
  </si>
  <si>
    <t>42,5</t>
  </si>
  <si>
    <t>Филимоненко Тимур</t>
  </si>
  <si>
    <t>Юноши 14-16 (19.02.2008)/13</t>
  </si>
  <si>
    <t>64,60</t>
  </si>
  <si>
    <t>85,0</t>
  </si>
  <si>
    <t xml:space="preserve">Филимоненко В. </t>
  </si>
  <si>
    <t>Киселев Денис</t>
  </si>
  <si>
    <t>Мастера 40-49 (23.02.1980)/41</t>
  </si>
  <si>
    <t>66,20</t>
  </si>
  <si>
    <t>Политов Сергей</t>
  </si>
  <si>
    <t>Открытая (04.09.1991)/30</t>
  </si>
  <si>
    <t>78,20</t>
  </si>
  <si>
    <t xml:space="preserve">Верещагино/Пермский край </t>
  </si>
  <si>
    <t>130,0</t>
  </si>
  <si>
    <t>137,5</t>
  </si>
  <si>
    <t xml:space="preserve">Машанов Е. </t>
  </si>
  <si>
    <t>Лузин Иван</t>
  </si>
  <si>
    <t>Юноши 17-19 (24.02.2004)/17</t>
  </si>
  <si>
    <t xml:space="preserve">Новоильинский/Пермский край </t>
  </si>
  <si>
    <t>125,0</t>
  </si>
  <si>
    <t>132,5</t>
  </si>
  <si>
    <t>Южаков Антон</t>
  </si>
  <si>
    <t>Открытая (18.02.1995)/26</t>
  </si>
  <si>
    <t>84,20</t>
  </si>
  <si>
    <t>210,0</t>
  </si>
  <si>
    <t>Лузин Сергей</t>
  </si>
  <si>
    <t>Мастера 60-69 (30.04.1954)/67</t>
  </si>
  <si>
    <t>112,5</t>
  </si>
  <si>
    <t>117,5</t>
  </si>
  <si>
    <t>Машанов Егор</t>
  </si>
  <si>
    <t>Открытая (17.06.1991)/30</t>
  </si>
  <si>
    <t>97,30</t>
  </si>
  <si>
    <t>185,0</t>
  </si>
  <si>
    <t>195,0</t>
  </si>
  <si>
    <t>Степанов Илья</t>
  </si>
  <si>
    <t>Открытая (27.08.1987)/34</t>
  </si>
  <si>
    <t>96,50</t>
  </si>
  <si>
    <t>Черноморец Андрей</t>
  </si>
  <si>
    <t>Мастера 70-79 (20.06.1946)/75</t>
  </si>
  <si>
    <t>91,80</t>
  </si>
  <si>
    <t>Зебзеев Андрей</t>
  </si>
  <si>
    <t>Мастера 40-49 (08.09.1973)/48</t>
  </si>
  <si>
    <t>103,70</t>
  </si>
  <si>
    <t xml:space="preserve">Яйва/Пермский край </t>
  </si>
  <si>
    <t>Хлюпина Ольга</t>
  </si>
  <si>
    <t>Открытая (02.12.1996)/24</t>
  </si>
  <si>
    <t>51,30</t>
  </si>
  <si>
    <t>52,5</t>
  </si>
  <si>
    <t xml:space="preserve">Тимофеев А. </t>
  </si>
  <si>
    <t>Мударисова Регина</t>
  </si>
  <si>
    <t>Открытая (02.10.1994)/26</t>
  </si>
  <si>
    <t>51,60</t>
  </si>
  <si>
    <t xml:space="preserve">Акатьев И. </t>
  </si>
  <si>
    <t>Ерофеева Елена</t>
  </si>
  <si>
    <t>Открытая (27.05.1984)/37</t>
  </si>
  <si>
    <t>50,60</t>
  </si>
  <si>
    <t>Левин Дмитрий</t>
  </si>
  <si>
    <t>Открытая (26.06.1995)/26</t>
  </si>
  <si>
    <t>73,50</t>
  </si>
  <si>
    <t>127,5</t>
  </si>
  <si>
    <t xml:space="preserve">Койков Е. </t>
  </si>
  <si>
    <t>Бережной Артём</t>
  </si>
  <si>
    <t>Открытая (02.12.1992)/28</t>
  </si>
  <si>
    <t>73,90</t>
  </si>
  <si>
    <t>Открытая (01.05.1994)/27</t>
  </si>
  <si>
    <t>72,30</t>
  </si>
  <si>
    <t>97,5</t>
  </si>
  <si>
    <t xml:space="preserve">Москвин А. </t>
  </si>
  <si>
    <t>Деткин Александр</t>
  </si>
  <si>
    <t>Мастера 50-59 (28.07.1970)/51</t>
  </si>
  <si>
    <t>74,30</t>
  </si>
  <si>
    <t>Сячин Антон</t>
  </si>
  <si>
    <t>Открытая (20.12.1991)/29</t>
  </si>
  <si>
    <t>85,80</t>
  </si>
  <si>
    <t>Дидковский Юрий</t>
  </si>
  <si>
    <t>Мастера 50-59 (09.04.1970)/51</t>
  </si>
  <si>
    <t>89,40</t>
  </si>
  <si>
    <t xml:space="preserve">Некрасов И. </t>
  </si>
  <si>
    <t>Зобнин Дмитрий</t>
  </si>
  <si>
    <t>Открытая (16.11.1982)/38</t>
  </si>
  <si>
    <t>100,00</t>
  </si>
  <si>
    <t>177,5</t>
  </si>
  <si>
    <t>Дерябин Данил</t>
  </si>
  <si>
    <t>Юноши 17-19 (07.09.2004)/17</t>
  </si>
  <si>
    <t>106,20</t>
  </si>
  <si>
    <t xml:space="preserve">Зонов В. </t>
  </si>
  <si>
    <t>Бажуков Никита</t>
  </si>
  <si>
    <t>Открытая (14.08.1985)/36</t>
  </si>
  <si>
    <t>107,40</t>
  </si>
  <si>
    <t>167,5</t>
  </si>
  <si>
    <t>108,0265</t>
  </si>
  <si>
    <t>101,5095</t>
  </si>
  <si>
    <t>99,3275</t>
  </si>
  <si>
    <t>3</t>
  </si>
  <si>
    <t>Попков Александр</t>
  </si>
  <si>
    <t>Открытая (03.09.1985)/36</t>
  </si>
  <si>
    <t>71,95</t>
  </si>
  <si>
    <t>Сидельцев Роман</t>
  </si>
  <si>
    <t>Открытая (22.02.1991)/30</t>
  </si>
  <si>
    <t>80,85</t>
  </si>
  <si>
    <t>Харин Вячеслав</t>
  </si>
  <si>
    <t>Юноши 14-16 (03.10.2004)/16</t>
  </si>
  <si>
    <t>84,00</t>
  </si>
  <si>
    <t>Нарыков Олег</t>
  </si>
  <si>
    <t>Открытая (23.10.1984)/36</t>
  </si>
  <si>
    <t>89,35</t>
  </si>
  <si>
    <t>Ксёнушко Олег</t>
  </si>
  <si>
    <t>Мастера 70-79 (01.06.1951)/70</t>
  </si>
  <si>
    <t>Крутиков Алексей</t>
  </si>
  <si>
    <t>Открытая (07.05.1993)/28</t>
  </si>
  <si>
    <t>106,90</t>
  </si>
  <si>
    <t>255,0</t>
  </si>
  <si>
    <t>Фадеев Алексей</t>
  </si>
  <si>
    <t>Юноши 14-16 (10.07.2006)/15</t>
  </si>
  <si>
    <t>55,10</t>
  </si>
  <si>
    <t>Сибаев Рафик</t>
  </si>
  <si>
    <t>Мастера 70-79 (16.08.1950)/71</t>
  </si>
  <si>
    <t>61,40</t>
  </si>
  <si>
    <t>Белов Александр</t>
  </si>
  <si>
    <t>Юноши 17-19 (26.06.2004)/17</t>
  </si>
  <si>
    <t>70,10</t>
  </si>
  <si>
    <t>Халимов Эдуард</t>
  </si>
  <si>
    <t>Мастера 40-49 (08.01.1976)/45</t>
  </si>
  <si>
    <t>82,50</t>
  </si>
  <si>
    <t xml:space="preserve">Николаев А. </t>
  </si>
  <si>
    <t>290,0</t>
  </si>
  <si>
    <t>300,0</t>
  </si>
  <si>
    <t>310,0</t>
  </si>
  <si>
    <t>ВЕСОВАЯ КАТЕГОРИЯ   90+</t>
  </si>
  <si>
    <t>Титова Ирина</t>
  </si>
  <si>
    <t>Мастера 40-49 (03.01.1974)/47</t>
  </si>
  <si>
    <t>97,20</t>
  </si>
  <si>
    <t>Четин Илья</t>
  </si>
  <si>
    <t>Открытая (06.09.1991)/30</t>
  </si>
  <si>
    <t>202,5</t>
  </si>
  <si>
    <t>212,5</t>
  </si>
  <si>
    <t>Рахимов Владислав</t>
  </si>
  <si>
    <t>Открытая (08.09.1993)/28</t>
  </si>
  <si>
    <t>207,5</t>
  </si>
  <si>
    <t>Анохин Сергей</t>
  </si>
  <si>
    <t>Открытая (17.01.1986)/35</t>
  </si>
  <si>
    <t>78,70</t>
  </si>
  <si>
    <t>Косков Сергей</t>
  </si>
  <si>
    <t>Мастера 60-69 (03.01.1957)/64</t>
  </si>
  <si>
    <t>99,50</t>
  </si>
  <si>
    <t>122,5</t>
  </si>
  <si>
    <t>Народный жим</t>
  </si>
  <si>
    <t>Ошмарин Владимир</t>
  </si>
  <si>
    <t>64,25</t>
  </si>
  <si>
    <t>Резников Вячеслав</t>
  </si>
  <si>
    <t>Открытая (29.12.1982)/38</t>
  </si>
  <si>
    <t>89,15</t>
  </si>
  <si>
    <t>Тоннаж</t>
  </si>
  <si>
    <t>ВЕСОВАЯ КАТЕГОРИЯ   44</t>
  </si>
  <si>
    <t>Ошмарина Софья</t>
  </si>
  <si>
    <t>44,00</t>
  </si>
  <si>
    <t>22,5</t>
  </si>
  <si>
    <t xml:space="preserve">Малышев И. </t>
  </si>
  <si>
    <t>Николаев Александр</t>
  </si>
  <si>
    <t>Мастера 60+ (07.08.1960)/61</t>
  </si>
  <si>
    <t>Мастера 60+ (30.04.1954)/67</t>
  </si>
  <si>
    <t>Пищальников Сергей</t>
  </si>
  <si>
    <t>Мастера 60+ (06.10.1953)/67</t>
  </si>
  <si>
    <t>83,80</t>
  </si>
  <si>
    <t>Рожков Сергей</t>
  </si>
  <si>
    <t>Открытая (05.04.1989)/32</t>
  </si>
  <si>
    <t>Беляев Никита</t>
  </si>
  <si>
    <t>Открытая (28.05.1995)/26</t>
  </si>
  <si>
    <t>57,90</t>
  </si>
  <si>
    <t>Аникин Александр</t>
  </si>
  <si>
    <t>Открытая (13.03.1985)/36</t>
  </si>
  <si>
    <t>71,75</t>
  </si>
  <si>
    <t>Сергеев Олег</t>
  </si>
  <si>
    <t>Открытая (25.04.1988)/33</t>
  </si>
  <si>
    <t>76,20</t>
  </si>
  <si>
    <t xml:space="preserve">Лысьва/Пермский край </t>
  </si>
  <si>
    <t>Фархутдинов Игорь</t>
  </si>
  <si>
    <t>Открытая (09.07.1982)/39</t>
  </si>
  <si>
    <t>79,15</t>
  </si>
  <si>
    <t>82,5</t>
  </si>
  <si>
    <t xml:space="preserve">Ширяев А. </t>
  </si>
  <si>
    <t>Луковенко Евгений</t>
  </si>
  <si>
    <t>Мастера 40-49 (23.07.1978)/43</t>
  </si>
  <si>
    <t>87,50</t>
  </si>
  <si>
    <t>Зеленин Федор</t>
  </si>
  <si>
    <t>Мастера 40-49 (15.06.1975)/46</t>
  </si>
  <si>
    <t>87,05</t>
  </si>
  <si>
    <t>72,5</t>
  </si>
  <si>
    <t>Дьяченко Артём</t>
  </si>
  <si>
    <t>Мастера 60-69 (17.07.1957)/64</t>
  </si>
  <si>
    <t>Соларёв Валентин</t>
  </si>
  <si>
    <t>Открытая (17.04.1988)/33</t>
  </si>
  <si>
    <t>90,45</t>
  </si>
  <si>
    <t>Весовая категория</t>
  </si>
  <si>
    <t xml:space="preserve">Фуражков Д. </t>
  </si>
  <si>
    <t xml:space="preserve">Койков Е.  </t>
  </si>
  <si>
    <t xml:space="preserve">Полыгалова О. </t>
  </si>
  <si>
    <t xml:space="preserve">Попков А. </t>
  </si>
  <si>
    <t>Попков А.</t>
  </si>
  <si>
    <t>Койков Е.</t>
  </si>
  <si>
    <t>Рабат/Марокко</t>
  </si>
  <si>
    <t xml:space="preserve">Алербон Д. </t>
  </si>
  <si>
    <t xml:space="preserve">Нивиков И. </t>
  </si>
  <si>
    <t xml:space="preserve">Екатеринбург/Свердловская область </t>
  </si>
  <si>
    <t>Никонов В.</t>
  </si>
  <si>
    <t>Девушки 13-19 (09.09.2005)/16</t>
  </si>
  <si>
    <t>Ширяев  А.</t>
  </si>
  <si>
    <t>El Karam Ismail</t>
  </si>
  <si>
    <t>Мастера 50-59 (30.04.1967)/54</t>
  </si>
  <si>
    <t>Открытытый мастерский турнир "Сила Прикамья"
WRPF любители Пауэрлифтинг без экипировки ДК
Пермь/Пермский край, 18 сентября 2021 года</t>
  </si>
  <si>
    <t>Открытытый мастерский турнир "Сила Прикамья"
WRPF любители Пауэрлифтинг без экипировки
Пермь/Пермский край, 18 сентября 2021 года</t>
  </si>
  <si>
    <t>Открытытый мастерский турнир "Сила Прикамья"
WRPF любители Силовое двоеборье без экипировки ДК
Пермь/Пермский край, 18 сентября 2021 года</t>
  </si>
  <si>
    <t>Открытытый мастерский турнир "Сила Прикамья"
WRPF любители Жим лежа без экипировки ДК
Пермь/Пермский край, 18 сентября 2021 года</t>
  </si>
  <si>
    <t>Открытытый мастерский турнир "Сила Прикамья"
WRPF любители Жим лежа без экипировки
Пермь/Пермский край, 18 сентября 2021 года</t>
  </si>
  <si>
    <t>Открытытый мастерский турнир "Сила Прикамья"
WEPF Жим лежа в однопетельной софт экипировке ДК
Пермь/Пермский край, 18 сентября 2021 года</t>
  </si>
  <si>
    <t>Открытытый мастерский турнир "Сила Прикамья"
WEPF Жим лежа в однопетельной софт экипировке
Пермь/Пермский край, 18 сентября 2021 года</t>
  </si>
  <si>
    <t>Открытытый мастерский турнир "Сила Прикамья"
WRPF Народный жим 1 вес
Пермь/Пермский край, 18 сентября 2021 года</t>
  </si>
  <si>
    <t>Открытытый мастерский турнир "Сила Прикамья"
WRPF Народный жим 1/2 веса
Пермь/Пермский край, 18 сентября 2021 года</t>
  </si>
  <si>
    <t>Открытытый мастерский турнир "Сила Прикамья"
WRPF Жим лежа СФО
Пермь/Пермский край, 18 сентября 2021 года</t>
  </si>
  <si>
    <t>Открытытый мастерский турнир "Сила Прикамья"
WRPF любители Становая тяга без экипировки ДК
Пермь/Пермский край, 18 сентября 2021 года</t>
  </si>
  <si>
    <t>Открытытый мастерский турнир "Сила Прикамья"
WRPF любители Становая тяга без экипировки
Пермь/Пермский край, 18 сентября 2021 года</t>
  </si>
  <si>
    <t>Открытытый мастерский турнир "Сила Прикамья"
WRPF Строгий подъем штанги на бицепс
Пермь/Пермский край, 18 сентября 2021 года</t>
  </si>
  <si>
    <t>№</t>
  </si>
  <si>
    <t>Жим</t>
  </si>
  <si>
    <t xml:space="preserve">
Дата рождения/Возраст</t>
  </si>
  <si>
    <t>Возрастная группа</t>
  </si>
  <si>
    <t>M1</t>
  </si>
  <si>
    <t>T1</t>
  </si>
  <si>
    <t>M4</t>
  </si>
  <si>
    <t>T2</t>
  </si>
  <si>
    <t>O</t>
  </si>
  <si>
    <t>M2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</si>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</sst>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8"/>
  <sheetViews>
    <sheetView tabSelected="1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8.6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5.83203125" style="5" bestFit="1" customWidth="1"/>
    <col min="22" max="16384" width="9.1640625" style="3"/>
  </cols>
  <sheetData>
    <row r="1" spans="1:21" s="2" customFormat="1" ht="29" customHeight="1">
      <c r="A1" s="43" t="s">
        <v>360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11</v>
      </c>
      <c r="H3" s="37"/>
      <c r="I3" s="37"/>
      <c r="J3" s="37"/>
      <c r="K3" s="37" t="s">
        <v>12</v>
      </c>
      <c r="L3" s="37"/>
      <c r="M3" s="37"/>
      <c r="N3" s="37"/>
      <c r="O3" s="37" t="s">
        <v>13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71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9" t="s">
        <v>69</v>
      </c>
      <c r="B6" s="8" t="s">
        <v>72</v>
      </c>
      <c r="C6" s="8" t="s">
        <v>73</v>
      </c>
      <c r="D6" s="8" t="s">
        <v>74</v>
      </c>
      <c r="E6" s="8" t="s">
        <v>381</v>
      </c>
      <c r="F6" s="8" t="s">
        <v>18</v>
      </c>
      <c r="G6" s="18" t="s">
        <v>75</v>
      </c>
      <c r="H6" s="18" t="s">
        <v>76</v>
      </c>
      <c r="I6" s="19" t="s">
        <v>77</v>
      </c>
      <c r="J6" s="9"/>
      <c r="K6" s="18" t="s">
        <v>78</v>
      </c>
      <c r="L6" s="18" t="s">
        <v>79</v>
      </c>
      <c r="M6" s="18" t="s">
        <v>80</v>
      </c>
      <c r="N6" s="9"/>
      <c r="O6" s="18" t="s">
        <v>77</v>
      </c>
      <c r="P6" s="18" t="s">
        <v>81</v>
      </c>
      <c r="Q6" s="19" t="s">
        <v>82</v>
      </c>
      <c r="R6" s="9"/>
      <c r="S6" s="9" t="str">
        <f>"282,5"</f>
        <v>282,5</v>
      </c>
      <c r="T6" s="9" t="str">
        <f>"352,1645"</f>
        <v>352,1645</v>
      </c>
      <c r="U6" s="8" t="s">
        <v>346</v>
      </c>
    </row>
    <row r="7" spans="1:21">
      <c r="B7" s="5" t="s">
        <v>10</v>
      </c>
    </row>
    <row r="8" spans="1:21" ht="16">
      <c r="A8" s="54" t="s">
        <v>83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9" t="s">
        <v>69</v>
      </c>
      <c r="B9" s="8" t="s">
        <v>84</v>
      </c>
      <c r="C9" s="8" t="s">
        <v>85</v>
      </c>
      <c r="D9" s="8" t="s">
        <v>86</v>
      </c>
      <c r="E9" s="8" t="s">
        <v>380</v>
      </c>
      <c r="F9" s="8" t="s">
        <v>18</v>
      </c>
      <c r="G9" s="18" t="s">
        <v>32</v>
      </c>
      <c r="H9" s="18" t="s">
        <v>87</v>
      </c>
      <c r="I9" s="19" t="s">
        <v>34</v>
      </c>
      <c r="J9" s="9"/>
      <c r="K9" s="19" t="s">
        <v>79</v>
      </c>
      <c r="L9" s="18" t="s">
        <v>80</v>
      </c>
      <c r="M9" s="19" t="s">
        <v>88</v>
      </c>
      <c r="N9" s="9"/>
      <c r="O9" s="18" t="s">
        <v>89</v>
      </c>
      <c r="P9" s="18" t="s">
        <v>77</v>
      </c>
      <c r="Q9" s="19" t="s">
        <v>82</v>
      </c>
      <c r="R9" s="9"/>
      <c r="S9" s="9" t="str">
        <f>"260,0"</f>
        <v>260,0</v>
      </c>
      <c r="T9" s="9" t="str">
        <f>"239,2000"</f>
        <v>239,2000</v>
      </c>
      <c r="U9" s="8" t="s">
        <v>90</v>
      </c>
    </row>
    <row r="10" spans="1:21">
      <c r="B10" s="5" t="s">
        <v>10</v>
      </c>
    </row>
    <row r="11" spans="1:21" ht="16">
      <c r="A11" s="54" t="s">
        <v>91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1">
      <c r="A12" s="11" t="s">
        <v>69</v>
      </c>
      <c r="B12" s="10" t="s">
        <v>92</v>
      </c>
      <c r="C12" s="10" t="s">
        <v>93</v>
      </c>
      <c r="D12" s="10" t="s">
        <v>94</v>
      </c>
      <c r="E12" s="10" t="s">
        <v>381</v>
      </c>
      <c r="F12" s="10" t="s">
        <v>18</v>
      </c>
      <c r="G12" s="21" t="s">
        <v>95</v>
      </c>
      <c r="H12" s="20" t="s">
        <v>95</v>
      </c>
      <c r="I12" s="11"/>
      <c r="J12" s="11"/>
      <c r="K12" s="20" t="s">
        <v>89</v>
      </c>
      <c r="L12" s="21" t="s">
        <v>77</v>
      </c>
      <c r="M12" s="21" t="s">
        <v>77</v>
      </c>
      <c r="N12" s="11"/>
      <c r="O12" s="20" t="s">
        <v>95</v>
      </c>
      <c r="P12" s="20" t="s">
        <v>96</v>
      </c>
      <c r="Q12" s="20" t="s">
        <v>97</v>
      </c>
      <c r="R12" s="11"/>
      <c r="S12" s="11" t="str">
        <f>"440,0"</f>
        <v>440,0</v>
      </c>
      <c r="T12" s="11" t="str">
        <f>"300,1680"</f>
        <v>300,1680</v>
      </c>
      <c r="U12" s="10" t="s">
        <v>98</v>
      </c>
    </row>
    <row r="13" spans="1:21">
      <c r="A13" s="13" t="s">
        <v>69</v>
      </c>
      <c r="B13" s="12" t="s">
        <v>92</v>
      </c>
      <c r="C13" s="12" t="s">
        <v>99</v>
      </c>
      <c r="D13" s="12" t="s">
        <v>94</v>
      </c>
      <c r="E13" s="12" t="s">
        <v>377</v>
      </c>
      <c r="F13" s="12" t="s">
        <v>18</v>
      </c>
      <c r="G13" s="23" t="s">
        <v>95</v>
      </c>
      <c r="H13" s="22" t="s">
        <v>95</v>
      </c>
      <c r="I13" s="13"/>
      <c r="J13" s="13"/>
      <c r="K13" s="22" t="s">
        <v>89</v>
      </c>
      <c r="L13" s="23" t="s">
        <v>77</v>
      </c>
      <c r="M13" s="23" t="s">
        <v>77</v>
      </c>
      <c r="N13" s="13"/>
      <c r="O13" s="22" t="s">
        <v>95</v>
      </c>
      <c r="P13" s="22" t="s">
        <v>96</v>
      </c>
      <c r="Q13" s="22" t="s">
        <v>97</v>
      </c>
      <c r="R13" s="13"/>
      <c r="S13" s="13" t="str">
        <f>"440,0"</f>
        <v>440,0</v>
      </c>
      <c r="T13" s="13" t="str">
        <f>"323,5811"</f>
        <v>323,5811</v>
      </c>
      <c r="U13" s="12" t="s">
        <v>98</v>
      </c>
    </row>
    <row r="14" spans="1:21">
      <c r="B14" s="5" t="s">
        <v>10</v>
      </c>
    </row>
    <row r="15" spans="1:21" ht="16">
      <c r="A15" s="54" t="s">
        <v>57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21">
      <c r="A16" s="11" t="s">
        <v>69</v>
      </c>
      <c r="B16" s="10" t="s">
        <v>100</v>
      </c>
      <c r="C16" s="10" t="s">
        <v>101</v>
      </c>
      <c r="D16" s="10" t="s">
        <v>102</v>
      </c>
      <c r="E16" s="10" t="s">
        <v>381</v>
      </c>
      <c r="F16" s="10" t="s">
        <v>18</v>
      </c>
      <c r="G16" s="21" t="s">
        <v>97</v>
      </c>
      <c r="H16" s="20" t="s">
        <v>97</v>
      </c>
      <c r="I16" s="11"/>
      <c r="J16" s="11"/>
      <c r="K16" s="20" t="s">
        <v>20</v>
      </c>
      <c r="L16" s="20" t="s">
        <v>25</v>
      </c>
      <c r="M16" s="21" t="s">
        <v>95</v>
      </c>
      <c r="N16" s="11"/>
      <c r="O16" s="20" t="s">
        <v>37</v>
      </c>
      <c r="P16" s="20" t="s">
        <v>103</v>
      </c>
      <c r="Q16" s="20" t="s">
        <v>104</v>
      </c>
      <c r="R16" s="11"/>
      <c r="S16" s="11" t="str">
        <f>"545,0"</f>
        <v>545,0</v>
      </c>
      <c r="T16" s="11" t="str">
        <f>"332,5045"</f>
        <v>332,5045</v>
      </c>
      <c r="U16" s="10"/>
    </row>
    <row r="17" spans="1:21">
      <c r="A17" s="13" t="s">
        <v>69</v>
      </c>
      <c r="B17" s="12" t="s">
        <v>100</v>
      </c>
      <c r="C17" s="12" t="s">
        <v>105</v>
      </c>
      <c r="D17" s="12" t="s">
        <v>102</v>
      </c>
      <c r="E17" s="12" t="s">
        <v>382</v>
      </c>
      <c r="F17" s="12" t="s">
        <v>18</v>
      </c>
      <c r="G17" s="23" t="s">
        <v>97</v>
      </c>
      <c r="H17" s="22" t="s">
        <v>97</v>
      </c>
      <c r="I17" s="13"/>
      <c r="J17" s="13"/>
      <c r="K17" s="22" t="s">
        <v>20</v>
      </c>
      <c r="L17" s="22" t="s">
        <v>25</v>
      </c>
      <c r="M17" s="23" t="s">
        <v>95</v>
      </c>
      <c r="N17" s="13"/>
      <c r="O17" s="22" t="s">
        <v>37</v>
      </c>
      <c r="P17" s="22" t="s">
        <v>103</v>
      </c>
      <c r="Q17" s="22" t="s">
        <v>104</v>
      </c>
      <c r="R17" s="13"/>
      <c r="S17" s="13" t="str">
        <f>"545,0"</f>
        <v>545,0</v>
      </c>
      <c r="T17" s="13" t="str">
        <f>"408,3155"</f>
        <v>408,3155</v>
      </c>
      <c r="U17" s="12"/>
    </row>
    <row r="18" spans="1:21">
      <c r="B18" s="5" t="s">
        <v>10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1.5" style="5" bestFit="1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18.83203125" style="5" bestFit="1" customWidth="1"/>
    <col min="14" max="16384" width="9.1640625" style="3"/>
  </cols>
  <sheetData>
    <row r="1" spans="1:13" s="2" customFormat="1" ht="29" customHeight="1">
      <c r="A1" s="43" t="s">
        <v>369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315</v>
      </c>
      <c r="C6" s="8" t="s">
        <v>316</v>
      </c>
      <c r="D6" s="8" t="s">
        <v>132</v>
      </c>
      <c r="E6" s="8" t="s">
        <v>381</v>
      </c>
      <c r="F6" s="8" t="s">
        <v>18</v>
      </c>
      <c r="G6" s="18" t="s">
        <v>21</v>
      </c>
      <c r="H6" s="19" t="s">
        <v>32</v>
      </c>
      <c r="I6" s="18" t="s">
        <v>32</v>
      </c>
      <c r="J6" s="9"/>
      <c r="K6" s="9" t="str">
        <f>"80,0"</f>
        <v>80,0</v>
      </c>
      <c r="L6" s="9" t="str">
        <f>"71,4040"</f>
        <v>71,4040</v>
      </c>
      <c r="M6" s="8" t="s">
        <v>357</v>
      </c>
    </row>
    <row r="7" spans="1:13">
      <c r="B7" s="5" t="s">
        <v>10</v>
      </c>
    </row>
    <row r="8" spans="1:13" ht="16">
      <c r="A8" s="54" t="s">
        <v>141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9" t="s">
        <v>69</v>
      </c>
      <c r="B9" s="8" t="s">
        <v>317</v>
      </c>
      <c r="C9" s="8" t="s">
        <v>318</v>
      </c>
      <c r="D9" s="8" t="s">
        <v>319</v>
      </c>
      <c r="E9" s="8" t="s">
        <v>381</v>
      </c>
      <c r="F9" s="8" t="s">
        <v>18</v>
      </c>
      <c r="G9" s="18" t="s">
        <v>21</v>
      </c>
      <c r="H9" s="19" t="s">
        <v>32</v>
      </c>
      <c r="I9" s="19" t="s">
        <v>32</v>
      </c>
      <c r="J9" s="9"/>
      <c r="K9" s="9" t="str">
        <f>"70,0"</f>
        <v>70,0</v>
      </c>
      <c r="L9" s="9" t="str">
        <f>"71,1410"</f>
        <v>71,1410</v>
      </c>
      <c r="M9" s="8"/>
    </row>
    <row r="10" spans="1:13">
      <c r="B10" s="5" t="s">
        <v>10</v>
      </c>
    </row>
    <row r="11" spans="1:13" ht="16">
      <c r="A11" s="54" t="s">
        <v>106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9" t="s">
        <v>69</v>
      </c>
      <c r="B12" s="8" t="s">
        <v>320</v>
      </c>
      <c r="C12" s="8" t="s">
        <v>321</v>
      </c>
      <c r="D12" s="8" t="s">
        <v>322</v>
      </c>
      <c r="E12" s="8" t="s">
        <v>381</v>
      </c>
      <c r="F12" s="8" t="s">
        <v>18</v>
      </c>
      <c r="G12" s="18" t="s">
        <v>87</v>
      </c>
      <c r="H12" s="18" t="s">
        <v>34</v>
      </c>
      <c r="I12" s="19" t="s">
        <v>89</v>
      </c>
      <c r="J12" s="9"/>
      <c r="K12" s="9" t="str">
        <f>"95,0"</f>
        <v>95,0</v>
      </c>
      <c r="L12" s="9" t="str">
        <f>"67,6495"</f>
        <v>67,6495</v>
      </c>
      <c r="M12" s="8"/>
    </row>
    <row r="13" spans="1:13">
      <c r="B13" s="5" t="s">
        <v>10</v>
      </c>
    </row>
    <row r="14" spans="1:13" ht="16">
      <c r="A14" s="54" t="s">
        <v>91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1" t="s">
        <v>69</v>
      </c>
      <c r="B15" s="10" t="s">
        <v>323</v>
      </c>
      <c r="C15" s="10" t="s">
        <v>324</v>
      </c>
      <c r="D15" s="10" t="s">
        <v>325</v>
      </c>
      <c r="E15" s="10" t="s">
        <v>381</v>
      </c>
      <c r="F15" s="10" t="s">
        <v>326</v>
      </c>
      <c r="G15" s="20" t="s">
        <v>89</v>
      </c>
      <c r="H15" s="20" t="s">
        <v>75</v>
      </c>
      <c r="I15" s="21" t="s">
        <v>76</v>
      </c>
      <c r="J15" s="11"/>
      <c r="K15" s="11" t="str">
        <f>"105,0"</f>
        <v>105,0</v>
      </c>
      <c r="L15" s="11" t="str">
        <f>"71,4577"</f>
        <v>71,4577</v>
      </c>
      <c r="M15" s="10"/>
    </row>
    <row r="16" spans="1:13">
      <c r="A16" s="13" t="s">
        <v>70</v>
      </c>
      <c r="B16" s="12" t="s">
        <v>327</v>
      </c>
      <c r="C16" s="12" t="s">
        <v>328</v>
      </c>
      <c r="D16" s="12" t="s">
        <v>329</v>
      </c>
      <c r="E16" s="12" t="s">
        <v>381</v>
      </c>
      <c r="F16" s="12" t="s">
        <v>18</v>
      </c>
      <c r="G16" s="22" t="s">
        <v>32</v>
      </c>
      <c r="H16" s="22" t="s">
        <v>330</v>
      </c>
      <c r="I16" s="22" t="s">
        <v>33</v>
      </c>
      <c r="J16" s="13"/>
      <c r="K16" s="13" t="str">
        <f>"87,5"</f>
        <v>87,5</v>
      </c>
      <c r="L16" s="13" t="str">
        <f>"57,9797"</f>
        <v>57,9797</v>
      </c>
      <c r="M16" s="12" t="s">
        <v>331</v>
      </c>
    </row>
    <row r="17" spans="1:13">
      <c r="B17" s="5" t="s">
        <v>10</v>
      </c>
    </row>
    <row r="18" spans="1:13" ht="16">
      <c r="A18" s="54" t="s">
        <v>26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11" t="s">
        <v>69</v>
      </c>
      <c r="B19" s="10" t="s">
        <v>332</v>
      </c>
      <c r="C19" s="10" t="s">
        <v>333</v>
      </c>
      <c r="D19" s="10" t="s">
        <v>334</v>
      </c>
      <c r="E19" s="10" t="s">
        <v>377</v>
      </c>
      <c r="F19" s="10" t="s">
        <v>18</v>
      </c>
      <c r="G19" s="21" t="s">
        <v>22</v>
      </c>
      <c r="H19" s="20" t="s">
        <v>22</v>
      </c>
      <c r="I19" s="20" t="s">
        <v>32</v>
      </c>
      <c r="J19" s="11"/>
      <c r="K19" s="11" t="str">
        <f>"80,0"</f>
        <v>80,0</v>
      </c>
      <c r="L19" s="11" t="str">
        <f>"51,2819"</f>
        <v>51,2819</v>
      </c>
      <c r="M19" s="10" t="s">
        <v>331</v>
      </c>
    </row>
    <row r="20" spans="1:13">
      <c r="A20" s="25" t="s">
        <v>70</v>
      </c>
      <c r="B20" s="24" t="s">
        <v>335</v>
      </c>
      <c r="C20" s="24" t="s">
        <v>336</v>
      </c>
      <c r="D20" s="24" t="s">
        <v>337</v>
      </c>
      <c r="E20" s="24" t="s">
        <v>382</v>
      </c>
      <c r="F20" s="24" t="s">
        <v>18</v>
      </c>
      <c r="G20" s="26" t="s">
        <v>80</v>
      </c>
      <c r="H20" s="26" t="s">
        <v>21</v>
      </c>
      <c r="I20" s="26" t="s">
        <v>338</v>
      </c>
      <c r="J20" s="25"/>
      <c r="K20" s="25" t="str">
        <f>"72,5"</f>
        <v>72,5</v>
      </c>
      <c r="L20" s="25" t="str">
        <f>"48,2873"</f>
        <v>48,2873</v>
      </c>
      <c r="M20" s="24" t="s">
        <v>331</v>
      </c>
    </row>
    <row r="21" spans="1:13">
      <c r="A21" s="13" t="s">
        <v>69</v>
      </c>
      <c r="B21" s="12" t="s">
        <v>339</v>
      </c>
      <c r="C21" s="12" t="s">
        <v>340</v>
      </c>
      <c r="D21" s="12" t="s">
        <v>29</v>
      </c>
      <c r="E21" s="12" t="s">
        <v>383</v>
      </c>
      <c r="F21" s="12" t="s">
        <v>18</v>
      </c>
      <c r="G21" s="23" t="s">
        <v>76</v>
      </c>
      <c r="H21" s="22" t="s">
        <v>178</v>
      </c>
      <c r="I21" s="22" t="s">
        <v>81</v>
      </c>
      <c r="J21" s="13"/>
      <c r="K21" s="13" t="str">
        <f>"115,0"</f>
        <v>115,0</v>
      </c>
      <c r="L21" s="13" t="str">
        <f>"103,1932"</f>
        <v>103,1932</v>
      </c>
      <c r="M21" s="12" t="s">
        <v>199</v>
      </c>
    </row>
    <row r="22" spans="1:13">
      <c r="B22" s="5" t="s">
        <v>10</v>
      </c>
    </row>
    <row r="23" spans="1:13" ht="16">
      <c r="A23" s="54" t="s">
        <v>57</v>
      </c>
      <c r="B23" s="54"/>
      <c r="C23" s="55"/>
      <c r="D23" s="55"/>
      <c r="E23" s="55"/>
      <c r="F23" s="55"/>
      <c r="G23" s="55"/>
      <c r="H23" s="55"/>
      <c r="I23" s="55"/>
      <c r="J23" s="55"/>
    </row>
    <row r="24" spans="1:13">
      <c r="A24" s="9" t="s">
        <v>69</v>
      </c>
      <c r="B24" s="8" t="s">
        <v>341</v>
      </c>
      <c r="C24" s="8" t="s">
        <v>342</v>
      </c>
      <c r="D24" s="8" t="s">
        <v>343</v>
      </c>
      <c r="E24" s="8" t="s">
        <v>381</v>
      </c>
      <c r="F24" s="8" t="s">
        <v>18</v>
      </c>
      <c r="G24" s="18" t="s">
        <v>81</v>
      </c>
      <c r="H24" s="18" t="s">
        <v>82</v>
      </c>
      <c r="I24" s="19" t="s">
        <v>210</v>
      </c>
      <c r="J24" s="9"/>
      <c r="K24" s="9" t="str">
        <f>"120,0"</f>
        <v>120,0</v>
      </c>
      <c r="L24" s="9" t="str">
        <f>"73,2240"</f>
        <v>73,2240</v>
      </c>
      <c r="M24" s="8" t="s">
        <v>199</v>
      </c>
    </row>
    <row r="25" spans="1:13">
      <c r="B25" s="5" t="s">
        <v>10</v>
      </c>
    </row>
  </sheetData>
  <mergeCells count="17">
    <mergeCell ref="A23:J23"/>
    <mergeCell ref="A5:J5"/>
    <mergeCell ref="A8:J8"/>
    <mergeCell ref="A11:J11"/>
    <mergeCell ref="A14:J14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4.1640625" style="5" bestFit="1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43" t="s">
        <v>370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13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279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280</v>
      </c>
      <c r="C6" s="8" t="s">
        <v>281</v>
      </c>
      <c r="D6" s="8" t="s">
        <v>282</v>
      </c>
      <c r="E6" s="8" t="s">
        <v>377</v>
      </c>
      <c r="F6" s="8" t="s">
        <v>18</v>
      </c>
      <c r="G6" s="18" t="s">
        <v>54</v>
      </c>
      <c r="H6" s="19" t="s">
        <v>25</v>
      </c>
      <c r="I6" s="18" t="s">
        <v>25</v>
      </c>
      <c r="J6" s="9"/>
      <c r="K6" s="9" t="str">
        <f>"150,0"</f>
        <v>150,0</v>
      </c>
      <c r="L6" s="9" t="str">
        <f>"138,0796"</f>
        <v>138,0796</v>
      </c>
      <c r="M6" s="8" t="s">
        <v>352</v>
      </c>
    </row>
    <row r="7" spans="1:13">
      <c r="B7" s="5" t="s">
        <v>10</v>
      </c>
    </row>
    <row r="8" spans="1:13" ht="16">
      <c r="A8" s="54" t="s">
        <v>106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1" t="s">
        <v>69</v>
      </c>
      <c r="B9" s="10" t="s">
        <v>283</v>
      </c>
      <c r="C9" s="10" t="s">
        <v>284</v>
      </c>
      <c r="D9" s="10" t="s">
        <v>209</v>
      </c>
      <c r="E9" s="10" t="s">
        <v>381</v>
      </c>
      <c r="F9" s="10" t="s">
        <v>18</v>
      </c>
      <c r="G9" s="20" t="s">
        <v>37</v>
      </c>
      <c r="H9" s="20" t="s">
        <v>285</v>
      </c>
      <c r="I9" s="20" t="s">
        <v>286</v>
      </c>
      <c r="J9" s="11"/>
      <c r="K9" s="11" t="str">
        <f>"212,5"</f>
        <v>212,5</v>
      </c>
      <c r="L9" s="11" t="str">
        <f>"153,5950"</f>
        <v>153,5950</v>
      </c>
      <c r="M9" s="10" t="s">
        <v>353</v>
      </c>
    </row>
    <row r="10" spans="1:13">
      <c r="A10" s="25" t="s">
        <v>70</v>
      </c>
      <c r="B10" s="24" t="s">
        <v>287</v>
      </c>
      <c r="C10" s="24" t="s">
        <v>288</v>
      </c>
      <c r="D10" s="24" t="s">
        <v>271</v>
      </c>
      <c r="E10" s="24" t="s">
        <v>381</v>
      </c>
      <c r="F10" s="24" t="s">
        <v>18</v>
      </c>
      <c r="G10" s="26" t="s">
        <v>184</v>
      </c>
      <c r="H10" s="27" t="s">
        <v>289</v>
      </c>
      <c r="I10" s="27" t="s">
        <v>289</v>
      </c>
      <c r="J10" s="25"/>
      <c r="K10" s="25" t="str">
        <f>"195,0"</f>
        <v>195,0</v>
      </c>
      <c r="L10" s="25" t="str">
        <f>"145,9770"</f>
        <v>145,9770</v>
      </c>
      <c r="M10" s="24"/>
    </row>
    <row r="11" spans="1:13">
      <c r="A11" s="13" t="s">
        <v>244</v>
      </c>
      <c r="B11" s="12" t="s">
        <v>358</v>
      </c>
      <c r="C11" s="12" t="s">
        <v>215</v>
      </c>
      <c r="D11" s="12" t="s">
        <v>216</v>
      </c>
      <c r="E11" s="12" t="s">
        <v>381</v>
      </c>
      <c r="F11" s="12" t="s">
        <v>351</v>
      </c>
      <c r="G11" s="22" t="s">
        <v>165</v>
      </c>
      <c r="H11" s="22" t="s">
        <v>24</v>
      </c>
      <c r="I11" s="22" t="s">
        <v>95</v>
      </c>
      <c r="J11" s="13"/>
      <c r="K11" s="13" t="str">
        <f>"160,0"</f>
        <v>160,0</v>
      </c>
      <c r="L11" s="13" t="str">
        <f>"117,0400"</f>
        <v>117,0400</v>
      </c>
      <c r="M11" s="12" t="s">
        <v>218</v>
      </c>
    </row>
    <row r="12" spans="1:13">
      <c r="B12" s="5" t="s">
        <v>10</v>
      </c>
    </row>
    <row r="13" spans="1:13" ht="16">
      <c r="A13" s="54" t="s">
        <v>91</v>
      </c>
      <c r="B13" s="54"/>
      <c r="C13" s="55"/>
      <c r="D13" s="55"/>
      <c r="E13" s="55"/>
      <c r="F13" s="55"/>
      <c r="G13" s="55"/>
      <c r="H13" s="55"/>
      <c r="I13" s="55"/>
      <c r="J13" s="55"/>
    </row>
    <row r="14" spans="1:13">
      <c r="A14" s="9" t="s">
        <v>69</v>
      </c>
      <c r="B14" s="8" t="s">
        <v>290</v>
      </c>
      <c r="C14" s="8" t="s">
        <v>291</v>
      </c>
      <c r="D14" s="8" t="s">
        <v>292</v>
      </c>
      <c r="E14" s="8" t="s">
        <v>381</v>
      </c>
      <c r="F14" s="8" t="s">
        <v>354</v>
      </c>
      <c r="G14" s="18" t="s">
        <v>171</v>
      </c>
      <c r="H14" s="18" t="s">
        <v>20</v>
      </c>
      <c r="I14" s="19" t="s">
        <v>30</v>
      </c>
      <c r="J14" s="9"/>
      <c r="K14" s="9" t="str">
        <f>"140,0"</f>
        <v>140,0</v>
      </c>
      <c r="L14" s="9" t="str">
        <f>"96,5860"</f>
        <v>96,5860</v>
      </c>
      <c r="M14" s="8" t="s">
        <v>218</v>
      </c>
    </row>
    <row r="15" spans="1:13">
      <c r="B15" s="5" t="s">
        <v>10</v>
      </c>
    </row>
  </sheetData>
  <mergeCells count="14">
    <mergeCell ref="A8:J8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28.6640625" style="5" bestFit="1" customWidth="1"/>
    <col min="14" max="16384" width="9.1640625" style="3"/>
  </cols>
  <sheetData>
    <row r="1" spans="1:13" s="2" customFormat="1" ht="29" customHeight="1">
      <c r="A1" s="43" t="s">
        <v>371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13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263</v>
      </c>
      <c r="C6" s="8" t="s">
        <v>264</v>
      </c>
      <c r="D6" s="8" t="s">
        <v>265</v>
      </c>
      <c r="E6" s="8" t="s">
        <v>378</v>
      </c>
      <c r="F6" s="8" t="s">
        <v>169</v>
      </c>
      <c r="G6" s="18" t="s">
        <v>77</v>
      </c>
      <c r="H6" s="18" t="s">
        <v>82</v>
      </c>
      <c r="I6" s="18" t="s">
        <v>170</v>
      </c>
      <c r="J6" s="9"/>
      <c r="K6" s="9" t="str">
        <f>"125,0"</f>
        <v>125,0</v>
      </c>
      <c r="L6" s="9" t="str">
        <f>"115,6250"</f>
        <v>115,6250</v>
      </c>
      <c r="M6" s="8" t="s">
        <v>349</v>
      </c>
    </row>
    <row r="7" spans="1:13">
      <c r="B7" s="5" t="s">
        <v>10</v>
      </c>
    </row>
    <row r="8" spans="1:13" ht="16">
      <c r="A8" s="54" t="s">
        <v>14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9" t="s">
        <v>69</v>
      </c>
      <c r="B9" s="8" t="s">
        <v>266</v>
      </c>
      <c r="C9" s="8" t="s">
        <v>267</v>
      </c>
      <c r="D9" s="8" t="s">
        <v>268</v>
      </c>
      <c r="E9" s="8" t="s">
        <v>379</v>
      </c>
      <c r="F9" s="8" t="s">
        <v>18</v>
      </c>
      <c r="G9" s="18" t="s">
        <v>54</v>
      </c>
      <c r="H9" s="18" t="s">
        <v>30</v>
      </c>
      <c r="I9" s="18" t="s">
        <v>95</v>
      </c>
      <c r="J9" s="9"/>
      <c r="K9" s="9" t="str">
        <f>"160,0"</f>
        <v>160,0</v>
      </c>
      <c r="L9" s="9" t="str">
        <f>"232,5475"</f>
        <v>232,5475</v>
      </c>
      <c r="M9" s="8"/>
    </row>
    <row r="10" spans="1:13">
      <c r="B10" s="5" t="s">
        <v>10</v>
      </c>
    </row>
    <row r="11" spans="1:13" ht="16">
      <c r="A11" s="54" t="s">
        <v>106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9" t="s">
        <v>69</v>
      </c>
      <c r="B12" s="8" t="s">
        <v>269</v>
      </c>
      <c r="C12" s="8" t="s">
        <v>270</v>
      </c>
      <c r="D12" s="8" t="s">
        <v>271</v>
      </c>
      <c r="E12" s="8" t="s">
        <v>380</v>
      </c>
      <c r="F12" s="8" t="s">
        <v>169</v>
      </c>
      <c r="G12" s="18" t="s">
        <v>184</v>
      </c>
      <c r="H12" s="18" t="s">
        <v>103</v>
      </c>
      <c r="I12" s="18" t="s">
        <v>175</v>
      </c>
      <c r="J12" s="9"/>
      <c r="K12" s="9" t="str">
        <f>"210,0"</f>
        <v>210,0</v>
      </c>
      <c r="L12" s="9" t="str">
        <f>"157,2060"</f>
        <v>157,2060</v>
      </c>
      <c r="M12" s="8" t="s">
        <v>349</v>
      </c>
    </row>
    <row r="13" spans="1:13">
      <c r="B13" s="5" t="s">
        <v>10</v>
      </c>
    </row>
    <row r="14" spans="1:13" ht="16">
      <c r="A14" s="54" t="s">
        <v>91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1" t="s">
        <v>69</v>
      </c>
      <c r="B15" s="10" t="s">
        <v>160</v>
      </c>
      <c r="C15" s="10" t="s">
        <v>161</v>
      </c>
      <c r="D15" s="10" t="s">
        <v>162</v>
      </c>
      <c r="E15" s="10" t="s">
        <v>381</v>
      </c>
      <c r="F15" s="10" t="s">
        <v>163</v>
      </c>
      <c r="G15" s="20" t="s">
        <v>175</v>
      </c>
      <c r="H15" s="20" t="s">
        <v>51</v>
      </c>
      <c r="I15" s="20" t="s">
        <v>43</v>
      </c>
      <c r="J15" s="11"/>
      <c r="K15" s="11" t="str">
        <f>"235,0"</f>
        <v>235,0</v>
      </c>
      <c r="L15" s="11" t="str">
        <f>"162,7845"</f>
        <v>162,7845</v>
      </c>
      <c r="M15" s="10" t="s">
        <v>166</v>
      </c>
    </row>
    <row r="16" spans="1:13">
      <c r="A16" s="13" t="s">
        <v>69</v>
      </c>
      <c r="B16" s="12" t="s">
        <v>272</v>
      </c>
      <c r="C16" s="12" t="s">
        <v>273</v>
      </c>
      <c r="D16" s="12" t="s">
        <v>274</v>
      </c>
      <c r="E16" s="12" t="s">
        <v>377</v>
      </c>
      <c r="F16" s="12" t="s">
        <v>18</v>
      </c>
      <c r="G16" s="22" t="s">
        <v>35</v>
      </c>
      <c r="H16" s="22" t="s">
        <v>97</v>
      </c>
      <c r="I16" s="22" t="s">
        <v>183</v>
      </c>
      <c r="J16" s="13"/>
      <c r="K16" s="13" t="str">
        <f>"185,0"</f>
        <v>185,0</v>
      </c>
      <c r="L16" s="13" t="str">
        <f>"176,4900"</f>
        <v>176,4900</v>
      </c>
      <c r="M16" s="12" t="s">
        <v>275</v>
      </c>
    </row>
    <row r="17" spans="1:13">
      <c r="B17" s="5" t="s">
        <v>10</v>
      </c>
    </row>
    <row r="18" spans="1:13" ht="16">
      <c r="A18" s="54" t="s">
        <v>57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9" t="s">
        <v>69</v>
      </c>
      <c r="B19" s="8" t="s">
        <v>180</v>
      </c>
      <c r="C19" s="8" t="s">
        <v>181</v>
      </c>
      <c r="D19" s="8" t="s">
        <v>182</v>
      </c>
      <c r="E19" s="8" t="s">
        <v>381</v>
      </c>
      <c r="F19" s="8" t="s">
        <v>163</v>
      </c>
      <c r="G19" s="18" t="s">
        <v>276</v>
      </c>
      <c r="H19" s="18" t="s">
        <v>277</v>
      </c>
      <c r="I19" s="18" t="s">
        <v>278</v>
      </c>
      <c r="J19" s="9"/>
      <c r="K19" s="9" t="str">
        <f>"310,0"</f>
        <v>310,0</v>
      </c>
      <c r="L19" s="9" t="str">
        <f>"190,8050"</f>
        <v>190,8050</v>
      </c>
      <c r="M19" s="8"/>
    </row>
    <row r="20" spans="1:13">
      <c r="B20" s="5" t="s">
        <v>10</v>
      </c>
    </row>
  </sheetData>
  <mergeCells count="16">
    <mergeCell ref="A8:J8"/>
    <mergeCell ref="A11:J11"/>
    <mergeCell ref="A14:J14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4.33203125" style="5" customWidth="1"/>
    <col min="7" max="10" width="5.33203125" style="6" customWidth="1"/>
    <col min="11" max="11" width="11.33203125" style="6" bestFit="1" customWidth="1"/>
    <col min="12" max="12" width="7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3" t="s">
        <v>372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374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115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191</v>
      </c>
      <c r="C6" s="8" t="s">
        <v>192</v>
      </c>
      <c r="D6" s="8" t="s">
        <v>193</v>
      </c>
      <c r="E6" s="8" t="s">
        <v>377</v>
      </c>
      <c r="F6" s="8" t="s">
        <v>194</v>
      </c>
      <c r="G6" s="18" t="s">
        <v>78</v>
      </c>
      <c r="H6" s="18" t="s">
        <v>80</v>
      </c>
      <c r="I6" s="19" t="s">
        <v>88</v>
      </c>
      <c r="J6" s="9"/>
      <c r="K6" s="9" t="str">
        <f>"60,0"</f>
        <v>60,0</v>
      </c>
      <c r="L6" s="9" t="str">
        <f>"37,7247"</f>
        <v>37,7247</v>
      </c>
      <c r="M6" s="8"/>
    </row>
    <row r="7" spans="1:13">
      <c r="B7" s="5" t="s">
        <v>10</v>
      </c>
    </row>
    <row r="8" spans="1:13">
      <c r="B8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7.1640625" style="5" bestFit="1" customWidth="1"/>
    <col min="22" max="16384" width="9.1640625" style="3"/>
  </cols>
  <sheetData>
    <row r="1" spans="1:21" s="2" customFormat="1" ht="29" customHeight="1">
      <c r="A1" s="43" t="s">
        <v>361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11</v>
      </c>
      <c r="H3" s="37"/>
      <c r="I3" s="37"/>
      <c r="J3" s="37"/>
      <c r="K3" s="37" t="s">
        <v>12</v>
      </c>
      <c r="L3" s="37"/>
      <c r="M3" s="37"/>
      <c r="N3" s="37"/>
      <c r="O3" s="37" t="s">
        <v>13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14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9" t="s">
        <v>69</v>
      </c>
      <c r="B6" s="8" t="s">
        <v>15</v>
      </c>
      <c r="C6" s="8" t="s">
        <v>16</v>
      </c>
      <c r="D6" s="8" t="s">
        <v>17</v>
      </c>
      <c r="E6" s="8" t="s">
        <v>381</v>
      </c>
      <c r="F6" s="8" t="s">
        <v>18</v>
      </c>
      <c r="G6" s="18" t="s">
        <v>19</v>
      </c>
      <c r="H6" s="19" t="s">
        <v>20</v>
      </c>
      <c r="I6" s="18" t="s">
        <v>20</v>
      </c>
      <c r="J6" s="9"/>
      <c r="K6" s="18" t="s">
        <v>21</v>
      </c>
      <c r="L6" s="18" t="s">
        <v>22</v>
      </c>
      <c r="M6" s="19" t="s">
        <v>23</v>
      </c>
      <c r="N6" s="9"/>
      <c r="O6" s="18" t="s">
        <v>20</v>
      </c>
      <c r="P6" s="18" t="s">
        <v>24</v>
      </c>
      <c r="Q6" s="19" t="s">
        <v>25</v>
      </c>
      <c r="R6" s="9"/>
      <c r="S6" s="9" t="str">
        <f>"362,5"</f>
        <v>362,5</v>
      </c>
      <c r="T6" s="9" t="str">
        <f>"373,9913"</f>
        <v>373,9913</v>
      </c>
      <c r="U6" s="8" t="s">
        <v>47</v>
      </c>
    </row>
    <row r="7" spans="1:21">
      <c r="B7" s="5" t="s">
        <v>10</v>
      </c>
    </row>
    <row r="8" spans="1:21" ht="16">
      <c r="A8" s="54" t="s">
        <v>26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9" t="s">
        <v>69</v>
      </c>
      <c r="B9" s="8" t="s">
        <v>27</v>
      </c>
      <c r="C9" s="8" t="s">
        <v>28</v>
      </c>
      <c r="D9" s="8" t="s">
        <v>29</v>
      </c>
      <c r="E9" s="8" t="s">
        <v>381</v>
      </c>
      <c r="F9" s="8" t="s">
        <v>18</v>
      </c>
      <c r="G9" s="18" t="s">
        <v>20</v>
      </c>
      <c r="H9" s="18" t="s">
        <v>30</v>
      </c>
      <c r="I9" s="18" t="s">
        <v>31</v>
      </c>
      <c r="J9" s="9"/>
      <c r="K9" s="18" t="s">
        <v>32</v>
      </c>
      <c r="L9" s="18" t="s">
        <v>33</v>
      </c>
      <c r="M9" s="19" t="s">
        <v>34</v>
      </c>
      <c r="N9" s="9"/>
      <c r="O9" s="18" t="s">
        <v>35</v>
      </c>
      <c r="P9" s="18" t="s">
        <v>36</v>
      </c>
      <c r="Q9" s="18" t="s">
        <v>37</v>
      </c>
      <c r="R9" s="9"/>
      <c r="S9" s="9" t="str">
        <f>"442,5"</f>
        <v>442,5</v>
      </c>
      <c r="T9" s="9" t="str">
        <f>"385,6830"</f>
        <v>385,6830</v>
      </c>
      <c r="U9" s="8" t="s">
        <v>345</v>
      </c>
    </row>
    <row r="10" spans="1:21">
      <c r="B10" s="5" t="s">
        <v>10</v>
      </c>
    </row>
    <row r="11" spans="1:21" ht="16">
      <c r="A11" s="54" t="s">
        <v>26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1">
      <c r="A12" s="11" t="s">
        <v>69</v>
      </c>
      <c r="B12" s="10" t="s">
        <v>38</v>
      </c>
      <c r="C12" s="10" t="s">
        <v>39</v>
      </c>
      <c r="D12" s="10" t="s">
        <v>40</v>
      </c>
      <c r="E12" s="10" t="s">
        <v>381</v>
      </c>
      <c r="F12" s="10" t="s">
        <v>18</v>
      </c>
      <c r="G12" s="20" t="s">
        <v>41</v>
      </c>
      <c r="H12" s="20" t="s">
        <v>42</v>
      </c>
      <c r="I12" s="20" t="s">
        <v>43</v>
      </c>
      <c r="J12" s="11"/>
      <c r="K12" s="20" t="s">
        <v>30</v>
      </c>
      <c r="L12" s="21" t="s">
        <v>44</v>
      </c>
      <c r="M12" s="21" t="s">
        <v>44</v>
      </c>
      <c r="N12" s="11"/>
      <c r="O12" s="20" t="s">
        <v>45</v>
      </c>
      <c r="P12" s="21" t="s">
        <v>46</v>
      </c>
      <c r="Q12" s="21" t="s">
        <v>46</v>
      </c>
      <c r="R12" s="11"/>
      <c r="S12" s="11" t="str">
        <f>"635,0"</f>
        <v>635,0</v>
      </c>
      <c r="T12" s="11" t="str">
        <f>"409,3845"</f>
        <v>409,3845</v>
      </c>
      <c r="U12" s="10" t="s">
        <v>47</v>
      </c>
    </row>
    <row r="13" spans="1:21">
      <c r="A13" s="13" t="s">
        <v>70</v>
      </c>
      <c r="B13" s="12" t="s">
        <v>48</v>
      </c>
      <c r="C13" s="12" t="s">
        <v>49</v>
      </c>
      <c r="D13" s="12" t="s">
        <v>50</v>
      </c>
      <c r="E13" s="12" t="s">
        <v>381</v>
      </c>
      <c r="F13" s="12" t="s">
        <v>18</v>
      </c>
      <c r="G13" s="22" t="s">
        <v>51</v>
      </c>
      <c r="H13" s="22" t="s">
        <v>52</v>
      </c>
      <c r="I13" s="23" t="s">
        <v>53</v>
      </c>
      <c r="J13" s="13"/>
      <c r="K13" s="22" t="s">
        <v>20</v>
      </c>
      <c r="L13" s="22" t="s">
        <v>54</v>
      </c>
      <c r="M13" s="23" t="s">
        <v>24</v>
      </c>
      <c r="N13" s="13"/>
      <c r="O13" s="22" t="s">
        <v>41</v>
      </c>
      <c r="P13" s="22" t="s">
        <v>55</v>
      </c>
      <c r="Q13" s="22" t="s">
        <v>56</v>
      </c>
      <c r="R13" s="13"/>
      <c r="S13" s="13" t="str">
        <f>"615,0"</f>
        <v>615,0</v>
      </c>
      <c r="T13" s="13" t="str">
        <f>"392,6160"</f>
        <v>392,6160</v>
      </c>
      <c r="U13" s="12"/>
    </row>
    <row r="14" spans="1:21">
      <c r="B14" s="5" t="s">
        <v>10</v>
      </c>
    </row>
    <row r="15" spans="1:21" ht="16">
      <c r="A15" s="54" t="s">
        <v>57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21">
      <c r="A16" s="9" t="s">
        <v>69</v>
      </c>
      <c r="B16" s="8" t="s">
        <v>58</v>
      </c>
      <c r="C16" s="8" t="s">
        <v>59</v>
      </c>
      <c r="D16" s="8" t="s">
        <v>60</v>
      </c>
      <c r="E16" s="8" t="s">
        <v>381</v>
      </c>
      <c r="F16" s="8" t="s">
        <v>18</v>
      </c>
      <c r="G16" s="18" t="s">
        <v>41</v>
      </c>
      <c r="H16" s="18" t="s">
        <v>55</v>
      </c>
      <c r="I16" s="19" t="s">
        <v>61</v>
      </c>
      <c r="J16" s="9"/>
      <c r="K16" s="18" t="s">
        <v>31</v>
      </c>
      <c r="L16" s="19" t="s">
        <v>35</v>
      </c>
      <c r="M16" s="18" t="s">
        <v>35</v>
      </c>
      <c r="N16" s="9"/>
      <c r="O16" s="18" t="s">
        <v>41</v>
      </c>
      <c r="P16" s="18" t="s">
        <v>55</v>
      </c>
      <c r="Q16" s="19" t="s">
        <v>61</v>
      </c>
      <c r="R16" s="9"/>
      <c r="S16" s="9" t="str">
        <f>"630,0"</f>
        <v>630,0</v>
      </c>
      <c r="T16" s="9" t="str">
        <f>"385,6230"</f>
        <v>385,6230</v>
      </c>
      <c r="U16" s="8"/>
    </row>
    <row r="17" spans="2:2">
      <c r="B17" s="5" t="s">
        <v>10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15.8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43" t="s">
        <v>362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</v>
      </c>
      <c r="P3" s="37" t="s">
        <v>3</v>
      </c>
      <c r="Q3" s="39" t="s">
        <v>2</v>
      </c>
    </row>
    <row r="4" spans="1:17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38"/>
      <c r="Q4" s="40"/>
    </row>
    <row r="5" spans="1:17" ht="16">
      <c r="A5" s="41" t="s">
        <v>57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9" t="s">
        <v>69</v>
      </c>
      <c r="B6" s="8" t="s">
        <v>293</v>
      </c>
      <c r="C6" s="8" t="s">
        <v>294</v>
      </c>
      <c r="D6" s="8" t="s">
        <v>295</v>
      </c>
      <c r="E6" s="8" t="s">
        <v>383</v>
      </c>
      <c r="F6" s="8" t="s">
        <v>110</v>
      </c>
      <c r="G6" s="18" t="s">
        <v>81</v>
      </c>
      <c r="H6" s="18" t="s">
        <v>82</v>
      </c>
      <c r="I6" s="18" t="s">
        <v>296</v>
      </c>
      <c r="J6" s="9"/>
      <c r="K6" s="18" t="s">
        <v>114</v>
      </c>
      <c r="L6" s="18" t="s">
        <v>286</v>
      </c>
      <c r="M6" s="18" t="s">
        <v>104</v>
      </c>
      <c r="N6" s="9"/>
      <c r="O6" s="9" t="str">
        <f>"337,5"</f>
        <v>337,5</v>
      </c>
      <c r="P6" s="9" t="str">
        <f>"308,9170"</f>
        <v>308,9170</v>
      </c>
      <c r="Q6" s="8"/>
    </row>
    <row r="7" spans="1:17">
      <c r="B7" s="5" t="s">
        <v>10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5.5" style="5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3" t="s">
        <v>363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71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1" t="s">
        <v>69</v>
      </c>
      <c r="B6" s="10" t="s">
        <v>195</v>
      </c>
      <c r="C6" s="10" t="s">
        <v>196</v>
      </c>
      <c r="D6" s="10" t="s">
        <v>197</v>
      </c>
      <c r="E6" s="10" t="s">
        <v>381</v>
      </c>
      <c r="F6" s="10" t="s">
        <v>18</v>
      </c>
      <c r="G6" s="20" t="s">
        <v>147</v>
      </c>
      <c r="H6" s="20" t="s">
        <v>198</v>
      </c>
      <c r="I6" s="21" t="s">
        <v>79</v>
      </c>
      <c r="J6" s="11"/>
      <c r="K6" s="11" t="str">
        <f>"52,5"</f>
        <v>52,5</v>
      </c>
      <c r="L6" s="11" t="str">
        <f>"66,1342"</f>
        <v>66,1342</v>
      </c>
      <c r="M6" s="10" t="s">
        <v>199</v>
      </c>
    </row>
    <row r="7" spans="1:13">
      <c r="A7" s="25" t="s">
        <v>70</v>
      </c>
      <c r="B7" s="24" t="s">
        <v>200</v>
      </c>
      <c r="C7" s="24" t="s">
        <v>201</v>
      </c>
      <c r="D7" s="24" t="s">
        <v>202</v>
      </c>
      <c r="E7" s="24" t="s">
        <v>381</v>
      </c>
      <c r="F7" s="24" t="s">
        <v>18</v>
      </c>
      <c r="G7" s="26" t="s">
        <v>146</v>
      </c>
      <c r="H7" s="26" t="s">
        <v>147</v>
      </c>
      <c r="I7" s="27" t="s">
        <v>198</v>
      </c>
      <c r="J7" s="25"/>
      <c r="K7" s="25" t="str">
        <f>"50,0"</f>
        <v>50,0</v>
      </c>
      <c r="L7" s="25" t="str">
        <f>"62,7050"</f>
        <v>62,7050</v>
      </c>
      <c r="M7" s="24" t="s">
        <v>203</v>
      </c>
    </row>
    <row r="8" spans="1:13">
      <c r="A8" s="13" t="s">
        <v>244</v>
      </c>
      <c r="B8" s="12" t="s">
        <v>204</v>
      </c>
      <c r="C8" s="12" t="s">
        <v>205</v>
      </c>
      <c r="D8" s="12" t="s">
        <v>206</v>
      </c>
      <c r="E8" s="12" t="s">
        <v>381</v>
      </c>
      <c r="F8" s="12" t="s">
        <v>18</v>
      </c>
      <c r="G8" s="22" t="s">
        <v>146</v>
      </c>
      <c r="H8" s="23" t="s">
        <v>147</v>
      </c>
      <c r="I8" s="23" t="s">
        <v>147</v>
      </c>
      <c r="J8" s="13"/>
      <c r="K8" s="13" t="str">
        <f>"47,5"</f>
        <v>47,5</v>
      </c>
      <c r="L8" s="13" t="str">
        <f>"60,4675"</f>
        <v>60,4675</v>
      </c>
      <c r="M8" s="12" t="s">
        <v>134</v>
      </c>
    </row>
    <row r="9" spans="1:13">
      <c r="B9" s="5" t="s">
        <v>10</v>
      </c>
    </row>
    <row r="10" spans="1:13" ht="16">
      <c r="A10" s="54" t="s">
        <v>106</v>
      </c>
      <c r="B10" s="54"/>
      <c r="C10" s="55"/>
      <c r="D10" s="55"/>
      <c r="E10" s="55"/>
      <c r="F10" s="55"/>
      <c r="G10" s="55"/>
      <c r="H10" s="55"/>
      <c r="I10" s="55"/>
      <c r="J10" s="55"/>
    </row>
    <row r="11" spans="1:13">
      <c r="A11" s="11" t="s">
        <v>69</v>
      </c>
      <c r="B11" s="10" t="s">
        <v>207</v>
      </c>
      <c r="C11" s="10" t="s">
        <v>208</v>
      </c>
      <c r="D11" s="10" t="s">
        <v>209</v>
      </c>
      <c r="E11" s="10" t="s">
        <v>381</v>
      </c>
      <c r="F11" s="10" t="s">
        <v>110</v>
      </c>
      <c r="G11" s="20" t="s">
        <v>210</v>
      </c>
      <c r="H11" s="20" t="s">
        <v>19</v>
      </c>
      <c r="I11" s="21" t="s">
        <v>20</v>
      </c>
      <c r="J11" s="11"/>
      <c r="K11" s="11" t="str">
        <f>"135,0"</f>
        <v>135,0</v>
      </c>
      <c r="L11" s="11" t="str">
        <f>"97,5780"</f>
        <v>97,5780</v>
      </c>
      <c r="M11" s="10" t="s">
        <v>211</v>
      </c>
    </row>
    <row r="12" spans="1:13">
      <c r="A12" s="25" t="s">
        <v>70</v>
      </c>
      <c r="B12" s="24" t="s">
        <v>212</v>
      </c>
      <c r="C12" s="24" t="s">
        <v>213</v>
      </c>
      <c r="D12" s="24" t="s">
        <v>214</v>
      </c>
      <c r="E12" s="24" t="s">
        <v>381</v>
      </c>
      <c r="F12" s="24" t="s">
        <v>18</v>
      </c>
      <c r="G12" s="26" t="s">
        <v>171</v>
      </c>
      <c r="H12" s="26" t="s">
        <v>19</v>
      </c>
      <c r="I12" s="27" t="s">
        <v>20</v>
      </c>
      <c r="J12" s="25"/>
      <c r="K12" s="25" t="str">
        <f>"135,0"</f>
        <v>135,0</v>
      </c>
      <c r="L12" s="25" t="str">
        <f>"97,2000"</f>
        <v>97,2000</v>
      </c>
      <c r="M12" s="24"/>
    </row>
    <row r="13" spans="1:13">
      <c r="A13" s="25" t="s">
        <v>244</v>
      </c>
      <c r="B13" s="24" t="s">
        <v>358</v>
      </c>
      <c r="C13" s="24" t="s">
        <v>215</v>
      </c>
      <c r="D13" s="24" t="s">
        <v>216</v>
      </c>
      <c r="E13" s="24" t="s">
        <v>381</v>
      </c>
      <c r="F13" s="24" t="s">
        <v>351</v>
      </c>
      <c r="G13" s="27" t="s">
        <v>217</v>
      </c>
      <c r="H13" s="26" t="s">
        <v>89</v>
      </c>
      <c r="I13" s="26" t="s">
        <v>75</v>
      </c>
      <c r="J13" s="25"/>
      <c r="K13" s="25" t="str">
        <f>"105,0"</f>
        <v>105,0</v>
      </c>
      <c r="L13" s="25" t="str">
        <f>"76,8075"</f>
        <v>76,8075</v>
      </c>
      <c r="M13" s="24" t="s">
        <v>218</v>
      </c>
    </row>
    <row r="14" spans="1:13">
      <c r="A14" s="13" t="s">
        <v>69</v>
      </c>
      <c r="B14" s="12" t="s">
        <v>219</v>
      </c>
      <c r="C14" s="12" t="s">
        <v>220</v>
      </c>
      <c r="D14" s="12" t="s">
        <v>221</v>
      </c>
      <c r="E14" s="12" t="s">
        <v>382</v>
      </c>
      <c r="F14" s="12" t="s">
        <v>18</v>
      </c>
      <c r="G14" s="22" t="s">
        <v>34</v>
      </c>
      <c r="H14" s="22" t="s">
        <v>89</v>
      </c>
      <c r="I14" s="22" t="s">
        <v>75</v>
      </c>
      <c r="J14" s="13"/>
      <c r="K14" s="13" t="str">
        <f>"105,0"</f>
        <v>105,0</v>
      </c>
      <c r="L14" s="13" t="str">
        <f>"87,9697"</f>
        <v>87,9697</v>
      </c>
      <c r="M14" s="12" t="s">
        <v>134</v>
      </c>
    </row>
    <row r="15" spans="1:13">
      <c r="B15" s="5" t="s">
        <v>10</v>
      </c>
    </row>
    <row r="16" spans="1:13" ht="16">
      <c r="A16" s="54" t="s">
        <v>26</v>
      </c>
      <c r="B16" s="54"/>
      <c r="C16" s="55"/>
      <c r="D16" s="55"/>
      <c r="E16" s="55"/>
      <c r="F16" s="55"/>
      <c r="G16" s="55"/>
      <c r="H16" s="55"/>
      <c r="I16" s="55"/>
      <c r="J16" s="55"/>
    </row>
    <row r="17" spans="1:13">
      <c r="A17" s="11" t="s">
        <v>69</v>
      </c>
      <c r="B17" s="10" t="s">
        <v>222</v>
      </c>
      <c r="C17" s="10" t="s">
        <v>223</v>
      </c>
      <c r="D17" s="10" t="s">
        <v>224</v>
      </c>
      <c r="E17" s="10" t="s">
        <v>381</v>
      </c>
      <c r="F17" s="10" t="s">
        <v>18</v>
      </c>
      <c r="G17" s="20" t="s">
        <v>30</v>
      </c>
      <c r="H17" s="21" t="s">
        <v>95</v>
      </c>
      <c r="I17" s="21" t="s">
        <v>95</v>
      </c>
      <c r="J17" s="11"/>
      <c r="K17" s="11" t="str">
        <f>"155,0"</f>
        <v>155,0</v>
      </c>
      <c r="L17" s="11" t="str">
        <f>"101,5095"</f>
        <v>101,5095</v>
      </c>
      <c r="M17" s="10"/>
    </row>
    <row r="18" spans="1:13">
      <c r="A18" s="13" t="s">
        <v>69</v>
      </c>
      <c r="B18" s="12" t="s">
        <v>225</v>
      </c>
      <c r="C18" s="12" t="s">
        <v>226</v>
      </c>
      <c r="D18" s="12" t="s">
        <v>227</v>
      </c>
      <c r="E18" s="12" t="s">
        <v>382</v>
      </c>
      <c r="F18" s="12" t="s">
        <v>18</v>
      </c>
      <c r="G18" s="22" t="s">
        <v>164</v>
      </c>
      <c r="H18" s="22" t="s">
        <v>19</v>
      </c>
      <c r="I18" s="23" t="s">
        <v>165</v>
      </c>
      <c r="J18" s="13"/>
      <c r="K18" s="13" t="str">
        <f>"135,0"</f>
        <v>135,0</v>
      </c>
      <c r="L18" s="13" t="str">
        <f>"101,0098"</f>
        <v>101,0098</v>
      </c>
      <c r="M18" s="12" t="s">
        <v>228</v>
      </c>
    </row>
    <row r="19" spans="1:13">
      <c r="B19" s="5" t="s">
        <v>10</v>
      </c>
    </row>
    <row r="20" spans="1:13" ht="16">
      <c r="A20" s="54" t="s">
        <v>57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3">
      <c r="A21" s="9" t="s">
        <v>69</v>
      </c>
      <c r="B21" s="8" t="s">
        <v>229</v>
      </c>
      <c r="C21" s="8" t="s">
        <v>230</v>
      </c>
      <c r="D21" s="8" t="s">
        <v>231</v>
      </c>
      <c r="E21" s="8" t="s">
        <v>381</v>
      </c>
      <c r="F21" s="8" t="s">
        <v>18</v>
      </c>
      <c r="G21" s="18" t="s">
        <v>31</v>
      </c>
      <c r="H21" s="18" t="s">
        <v>35</v>
      </c>
      <c r="I21" s="18" t="s">
        <v>232</v>
      </c>
      <c r="J21" s="9"/>
      <c r="K21" s="9" t="str">
        <f>"177,5"</f>
        <v>177,5</v>
      </c>
      <c r="L21" s="9" t="str">
        <f>"108,0265"</f>
        <v>108,0265</v>
      </c>
      <c r="M21" s="8"/>
    </row>
    <row r="22" spans="1:13">
      <c r="B22" s="5" t="s">
        <v>10</v>
      </c>
    </row>
    <row r="23" spans="1:13" ht="16">
      <c r="A23" s="54" t="s">
        <v>115</v>
      </c>
      <c r="B23" s="54"/>
      <c r="C23" s="55"/>
      <c r="D23" s="55"/>
      <c r="E23" s="55"/>
      <c r="F23" s="55"/>
      <c r="G23" s="55"/>
      <c r="H23" s="55"/>
      <c r="I23" s="55"/>
      <c r="J23" s="55"/>
    </row>
    <row r="24" spans="1:13">
      <c r="A24" s="11" t="s">
        <v>69</v>
      </c>
      <c r="B24" s="10" t="s">
        <v>233</v>
      </c>
      <c r="C24" s="10" t="s">
        <v>234</v>
      </c>
      <c r="D24" s="10" t="s">
        <v>235</v>
      </c>
      <c r="E24" s="10" t="s">
        <v>380</v>
      </c>
      <c r="F24" s="10" t="s">
        <v>18</v>
      </c>
      <c r="G24" s="20" t="s">
        <v>89</v>
      </c>
      <c r="H24" s="20" t="s">
        <v>77</v>
      </c>
      <c r="I24" s="21" t="s">
        <v>82</v>
      </c>
      <c r="J24" s="11"/>
      <c r="K24" s="11" t="str">
        <f>"110,0"</f>
        <v>110,0</v>
      </c>
      <c r="L24" s="11" t="str">
        <f>"65,4720"</f>
        <v>65,4720</v>
      </c>
      <c r="M24" s="10" t="s">
        <v>236</v>
      </c>
    </row>
    <row r="25" spans="1:13">
      <c r="A25" s="13" t="s">
        <v>69</v>
      </c>
      <c r="B25" s="12" t="s">
        <v>237</v>
      </c>
      <c r="C25" s="12" t="s">
        <v>238</v>
      </c>
      <c r="D25" s="12" t="s">
        <v>239</v>
      </c>
      <c r="E25" s="12" t="s">
        <v>381</v>
      </c>
      <c r="F25" s="12" t="s">
        <v>18</v>
      </c>
      <c r="G25" s="22" t="s">
        <v>95</v>
      </c>
      <c r="H25" s="22" t="s">
        <v>240</v>
      </c>
      <c r="I25" s="23" t="s">
        <v>35</v>
      </c>
      <c r="J25" s="13"/>
      <c r="K25" s="13" t="str">
        <f>"167,5"</f>
        <v>167,5</v>
      </c>
      <c r="L25" s="13" t="str">
        <f>"99,3275"</f>
        <v>99,3275</v>
      </c>
      <c r="M25" s="12" t="s">
        <v>134</v>
      </c>
    </row>
    <row r="26" spans="1:13">
      <c r="B26" s="5" t="s">
        <v>10</v>
      </c>
    </row>
    <row r="27" spans="1:13">
      <c r="B27" s="5" t="s">
        <v>10</v>
      </c>
    </row>
    <row r="28" spans="1:13">
      <c r="B28" s="5" t="s">
        <v>10</v>
      </c>
    </row>
    <row r="29" spans="1:13" ht="18">
      <c r="B29" s="7" t="s">
        <v>9</v>
      </c>
      <c r="C29" s="7"/>
      <c r="F29" s="3"/>
    </row>
    <row r="30" spans="1:13" ht="16">
      <c r="B30" s="14" t="s">
        <v>67</v>
      </c>
      <c r="C30" s="14"/>
      <c r="F30" s="3"/>
    </row>
    <row r="31" spans="1:13" ht="14">
      <c r="B31" s="15"/>
      <c r="C31" s="16" t="s">
        <v>62</v>
      </c>
      <c r="F31" s="3"/>
    </row>
    <row r="32" spans="1:13" ht="14">
      <c r="B32" s="17" t="s">
        <v>63</v>
      </c>
      <c r="C32" s="17" t="s">
        <v>64</v>
      </c>
      <c r="D32" s="17" t="s">
        <v>344</v>
      </c>
      <c r="E32" s="17" t="s">
        <v>126</v>
      </c>
      <c r="F32" s="17" t="s">
        <v>65</v>
      </c>
    </row>
    <row r="33" spans="2:6">
      <c r="B33" s="5" t="s">
        <v>229</v>
      </c>
      <c r="C33" s="5" t="s">
        <v>62</v>
      </c>
      <c r="D33" s="6" t="s">
        <v>68</v>
      </c>
      <c r="E33" s="6" t="s">
        <v>232</v>
      </c>
      <c r="F33" s="6" t="s">
        <v>241</v>
      </c>
    </row>
    <row r="34" spans="2:6">
      <c r="B34" s="5" t="s">
        <v>222</v>
      </c>
      <c r="C34" s="5" t="s">
        <v>62</v>
      </c>
      <c r="D34" s="6" t="s">
        <v>66</v>
      </c>
      <c r="E34" s="6" t="s">
        <v>30</v>
      </c>
      <c r="F34" s="6" t="s">
        <v>242</v>
      </c>
    </row>
    <row r="35" spans="2:6">
      <c r="B35" s="5" t="s">
        <v>237</v>
      </c>
      <c r="C35" s="5" t="s">
        <v>62</v>
      </c>
      <c r="D35" s="6" t="s">
        <v>127</v>
      </c>
      <c r="E35" s="6" t="s">
        <v>240</v>
      </c>
      <c r="F35" s="6" t="s">
        <v>243</v>
      </c>
    </row>
    <row r="36" spans="2:6">
      <c r="B36" s="5" t="s">
        <v>10</v>
      </c>
    </row>
  </sheetData>
  <mergeCells count="16">
    <mergeCell ref="A10:J10"/>
    <mergeCell ref="A16:J16"/>
    <mergeCell ref="A20:J20"/>
    <mergeCell ref="A23:J2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3" t="s">
        <v>364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83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1" t="s">
        <v>69</v>
      </c>
      <c r="B6" s="10" t="s">
        <v>130</v>
      </c>
      <c r="C6" s="10" t="s">
        <v>131</v>
      </c>
      <c r="D6" s="10" t="s">
        <v>132</v>
      </c>
      <c r="E6" s="10" t="s">
        <v>381</v>
      </c>
      <c r="F6" s="10" t="s">
        <v>133</v>
      </c>
      <c r="G6" s="20" t="s">
        <v>78</v>
      </c>
      <c r="H6" s="20" t="s">
        <v>79</v>
      </c>
      <c r="I6" s="20" t="s">
        <v>80</v>
      </c>
      <c r="J6" s="11"/>
      <c r="K6" s="11" t="str">
        <f>"60,0"</f>
        <v>60,0</v>
      </c>
      <c r="L6" s="11" t="str">
        <f>"70,5960"</f>
        <v>70,5960</v>
      </c>
      <c r="M6" s="10" t="s">
        <v>134</v>
      </c>
    </row>
    <row r="7" spans="1:13">
      <c r="A7" s="13" t="s">
        <v>70</v>
      </c>
      <c r="B7" s="12" t="s">
        <v>135</v>
      </c>
      <c r="C7" s="12" t="s">
        <v>136</v>
      </c>
      <c r="D7" s="12" t="s">
        <v>137</v>
      </c>
      <c r="E7" s="12" t="s">
        <v>381</v>
      </c>
      <c r="F7" s="12" t="s">
        <v>18</v>
      </c>
      <c r="G7" s="22" t="s">
        <v>138</v>
      </c>
      <c r="H7" s="22" t="s">
        <v>139</v>
      </c>
      <c r="I7" s="22" t="s">
        <v>140</v>
      </c>
      <c r="J7" s="13"/>
      <c r="K7" s="13" t="str">
        <f>"40,0"</f>
        <v>40,0</v>
      </c>
      <c r="L7" s="13" t="str">
        <f>"36,7360"</f>
        <v>36,7360</v>
      </c>
      <c r="M7" s="12" t="s">
        <v>134</v>
      </c>
    </row>
    <row r="8" spans="1:13">
      <c r="B8" s="5" t="s">
        <v>10</v>
      </c>
    </row>
    <row r="9" spans="1:13" ht="16">
      <c r="A9" s="54" t="s">
        <v>141</v>
      </c>
      <c r="B9" s="54"/>
      <c r="C9" s="55"/>
      <c r="D9" s="55"/>
      <c r="E9" s="55"/>
      <c r="F9" s="55"/>
      <c r="G9" s="55"/>
      <c r="H9" s="55"/>
      <c r="I9" s="55"/>
      <c r="J9" s="55"/>
    </row>
    <row r="10" spans="1:13">
      <c r="A10" s="9" t="s">
        <v>69</v>
      </c>
      <c r="B10" s="8" t="s">
        <v>142</v>
      </c>
      <c r="C10" s="8" t="s">
        <v>143</v>
      </c>
      <c r="D10" s="8" t="s">
        <v>144</v>
      </c>
      <c r="E10" s="8" t="s">
        <v>377</v>
      </c>
      <c r="F10" s="8" t="s">
        <v>18</v>
      </c>
      <c r="G10" s="18" t="s">
        <v>145</v>
      </c>
      <c r="H10" s="18" t="s">
        <v>146</v>
      </c>
      <c r="I10" s="19" t="s">
        <v>147</v>
      </c>
      <c r="J10" s="9"/>
      <c r="K10" s="9" t="str">
        <f>"47,5"</f>
        <v>47,5</v>
      </c>
      <c r="L10" s="9" t="str">
        <f>"56,0863"</f>
        <v>56,0863</v>
      </c>
      <c r="M10" s="8" t="s">
        <v>134</v>
      </c>
    </row>
    <row r="11" spans="1:13">
      <c r="B11" s="5" t="s">
        <v>10</v>
      </c>
    </row>
    <row r="12" spans="1:13" ht="16">
      <c r="A12" s="54" t="s">
        <v>14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9" t="s">
        <v>69</v>
      </c>
      <c r="B13" s="8" t="s">
        <v>148</v>
      </c>
      <c r="C13" s="8" t="s">
        <v>149</v>
      </c>
      <c r="D13" s="8" t="s">
        <v>150</v>
      </c>
      <c r="E13" s="8" t="s">
        <v>381</v>
      </c>
      <c r="F13" s="8" t="s">
        <v>18</v>
      </c>
      <c r="G13" s="18" t="s">
        <v>151</v>
      </c>
      <c r="H13" s="18" t="s">
        <v>145</v>
      </c>
      <c r="I13" s="19" t="s">
        <v>146</v>
      </c>
      <c r="J13" s="9"/>
      <c r="K13" s="9" t="str">
        <f>"45,0"</f>
        <v>45,0</v>
      </c>
      <c r="L13" s="9" t="str">
        <f>"47,2635"</f>
        <v>47,2635</v>
      </c>
      <c r="M13" s="8" t="s">
        <v>347</v>
      </c>
    </row>
    <row r="14" spans="1:13">
      <c r="B14" s="5" t="s">
        <v>10</v>
      </c>
    </row>
    <row r="15" spans="1:13" ht="16">
      <c r="A15" s="54" t="s">
        <v>14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11" t="s">
        <v>69</v>
      </c>
      <c r="B16" s="10" t="s">
        <v>152</v>
      </c>
      <c r="C16" s="10" t="s">
        <v>153</v>
      </c>
      <c r="D16" s="10" t="s">
        <v>154</v>
      </c>
      <c r="E16" s="10" t="s">
        <v>378</v>
      </c>
      <c r="F16" s="10" t="s">
        <v>110</v>
      </c>
      <c r="G16" s="20" t="s">
        <v>155</v>
      </c>
      <c r="H16" s="20" t="s">
        <v>34</v>
      </c>
      <c r="I16" s="20" t="s">
        <v>89</v>
      </c>
      <c r="J16" s="11"/>
      <c r="K16" s="11" t="str">
        <f>"100,0"</f>
        <v>100,0</v>
      </c>
      <c r="L16" s="11" t="str">
        <f>"79,9300"</f>
        <v>79,9300</v>
      </c>
      <c r="M16" s="10" t="s">
        <v>156</v>
      </c>
    </row>
    <row r="17" spans="1:13">
      <c r="A17" s="13" t="s">
        <v>69</v>
      </c>
      <c r="B17" s="12" t="s">
        <v>157</v>
      </c>
      <c r="C17" s="12" t="s">
        <v>158</v>
      </c>
      <c r="D17" s="12" t="s">
        <v>159</v>
      </c>
      <c r="E17" s="12" t="s">
        <v>377</v>
      </c>
      <c r="F17" s="12" t="s">
        <v>18</v>
      </c>
      <c r="G17" s="22" t="s">
        <v>34</v>
      </c>
      <c r="H17" s="22" t="s">
        <v>75</v>
      </c>
      <c r="I17" s="22" t="s">
        <v>77</v>
      </c>
      <c r="J17" s="13"/>
      <c r="K17" s="13" t="str">
        <f>"110,0"</f>
        <v>110,0</v>
      </c>
      <c r="L17" s="13" t="str">
        <f>"86,5828"</f>
        <v>86,5828</v>
      </c>
      <c r="M17" s="12" t="s">
        <v>134</v>
      </c>
    </row>
    <row r="18" spans="1:13">
      <c r="B18" s="5" t="s">
        <v>10</v>
      </c>
    </row>
    <row r="19" spans="1:13" ht="16">
      <c r="A19" s="54" t="s">
        <v>91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3">
      <c r="A20" s="9" t="s">
        <v>69</v>
      </c>
      <c r="B20" s="8" t="s">
        <v>160</v>
      </c>
      <c r="C20" s="8" t="s">
        <v>161</v>
      </c>
      <c r="D20" s="8" t="s">
        <v>162</v>
      </c>
      <c r="E20" s="8" t="s">
        <v>381</v>
      </c>
      <c r="F20" s="8" t="s">
        <v>163</v>
      </c>
      <c r="G20" s="18" t="s">
        <v>164</v>
      </c>
      <c r="H20" s="18" t="s">
        <v>165</v>
      </c>
      <c r="I20" s="19" t="s">
        <v>20</v>
      </c>
      <c r="J20" s="9"/>
      <c r="K20" s="9" t="str">
        <f>"137,5"</f>
        <v>137,5</v>
      </c>
      <c r="L20" s="9" t="str">
        <f>"95,2463"</f>
        <v>95,2463</v>
      </c>
      <c r="M20" s="8" t="s">
        <v>166</v>
      </c>
    </row>
    <row r="21" spans="1:13">
      <c r="B21" s="5" t="s">
        <v>10</v>
      </c>
    </row>
    <row r="22" spans="1:13" ht="16">
      <c r="A22" s="54" t="s">
        <v>26</v>
      </c>
      <c r="B22" s="54"/>
      <c r="C22" s="55"/>
      <c r="D22" s="55"/>
      <c r="E22" s="55"/>
      <c r="F22" s="55"/>
      <c r="G22" s="55"/>
      <c r="H22" s="55"/>
      <c r="I22" s="55"/>
      <c r="J22" s="55"/>
    </row>
    <row r="23" spans="1:13">
      <c r="A23" s="11" t="s">
        <v>69</v>
      </c>
      <c r="B23" s="10" t="s">
        <v>167</v>
      </c>
      <c r="C23" s="10" t="s">
        <v>168</v>
      </c>
      <c r="D23" s="10" t="s">
        <v>29</v>
      </c>
      <c r="E23" s="10" t="s">
        <v>380</v>
      </c>
      <c r="F23" s="10" t="s">
        <v>169</v>
      </c>
      <c r="G23" s="20" t="s">
        <v>82</v>
      </c>
      <c r="H23" s="20" t="s">
        <v>170</v>
      </c>
      <c r="I23" s="21" t="s">
        <v>171</v>
      </c>
      <c r="J23" s="11"/>
      <c r="K23" s="11" t="str">
        <f>"125,0"</f>
        <v>125,0</v>
      </c>
      <c r="L23" s="11" t="str">
        <f>"80,6375"</f>
        <v>80,6375</v>
      </c>
      <c r="M23" s="10" t="s">
        <v>348</v>
      </c>
    </row>
    <row r="24" spans="1:13">
      <c r="A24" s="25" t="s">
        <v>69</v>
      </c>
      <c r="B24" s="24" t="s">
        <v>172</v>
      </c>
      <c r="C24" s="24" t="s">
        <v>173</v>
      </c>
      <c r="D24" s="24" t="s">
        <v>174</v>
      </c>
      <c r="E24" s="24" t="s">
        <v>381</v>
      </c>
      <c r="F24" s="24" t="s">
        <v>163</v>
      </c>
      <c r="G24" s="26" t="s">
        <v>114</v>
      </c>
      <c r="H24" s="26" t="s">
        <v>103</v>
      </c>
      <c r="I24" s="26" t="s">
        <v>175</v>
      </c>
      <c r="J24" s="25"/>
      <c r="K24" s="25" t="str">
        <f>"210,0"</f>
        <v>210,0</v>
      </c>
      <c r="L24" s="25" t="str">
        <f>"138,9990"</f>
        <v>138,9990</v>
      </c>
      <c r="M24" s="24"/>
    </row>
    <row r="25" spans="1:13">
      <c r="A25" s="13" t="s">
        <v>69</v>
      </c>
      <c r="B25" s="12" t="s">
        <v>176</v>
      </c>
      <c r="C25" s="12" t="s">
        <v>177</v>
      </c>
      <c r="D25" s="12" t="s">
        <v>50</v>
      </c>
      <c r="E25" s="12" t="s">
        <v>383</v>
      </c>
      <c r="F25" s="12" t="s">
        <v>18</v>
      </c>
      <c r="G25" s="22" t="s">
        <v>75</v>
      </c>
      <c r="H25" s="22" t="s">
        <v>178</v>
      </c>
      <c r="I25" s="22" t="s">
        <v>179</v>
      </c>
      <c r="J25" s="13"/>
      <c r="K25" s="13" t="str">
        <f>"117,5"</f>
        <v>117,5</v>
      </c>
      <c r="L25" s="13" t="str">
        <f>"119,7942"</f>
        <v>119,7942</v>
      </c>
      <c r="M25" s="12"/>
    </row>
    <row r="26" spans="1:13">
      <c r="B26" s="5" t="s">
        <v>10</v>
      </c>
    </row>
    <row r="27" spans="1:13" ht="16">
      <c r="A27" s="54" t="s">
        <v>57</v>
      </c>
      <c r="B27" s="54"/>
      <c r="C27" s="55"/>
      <c r="D27" s="55"/>
      <c r="E27" s="55"/>
      <c r="F27" s="55"/>
      <c r="G27" s="55"/>
      <c r="H27" s="55"/>
      <c r="I27" s="55"/>
      <c r="J27" s="55"/>
    </row>
    <row r="28" spans="1:13">
      <c r="A28" s="11" t="s">
        <v>69</v>
      </c>
      <c r="B28" s="10" t="s">
        <v>180</v>
      </c>
      <c r="C28" s="10" t="s">
        <v>181</v>
      </c>
      <c r="D28" s="10" t="s">
        <v>182</v>
      </c>
      <c r="E28" s="10" t="s">
        <v>381</v>
      </c>
      <c r="F28" s="10" t="s">
        <v>163</v>
      </c>
      <c r="G28" s="20" t="s">
        <v>183</v>
      </c>
      <c r="H28" s="20" t="s">
        <v>37</v>
      </c>
      <c r="I28" s="20" t="s">
        <v>184</v>
      </c>
      <c r="J28" s="11"/>
      <c r="K28" s="11" t="str">
        <f>"195,0"</f>
        <v>195,0</v>
      </c>
      <c r="L28" s="11" t="str">
        <f>"120,0225"</f>
        <v>120,0225</v>
      </c>
      <c r="M28" s="10"/>
    </row>
    <row r="29" spans="1:13">
      <c r="A29" s="25" t="s">
        <v>70</v>
      </c>
      <c r="B29" s="24" t="s">
        <v>185</v>
      </c>
      <c r="C29" s="24" t="s">
        <v>186</v>
      </c>
      <c r="D29" s="24" t="s">
        <v>187</v>
      </c>
      <c r="E29" s="24" t="s">
        <v>381</v>
      </c>
      <c r="F29" s="24" t="s">
        <v>18</v>
      </c>
      <c r="G29" s="26" t="s">
        <v>35</v>
      </c>
      <c r="H29" s="26" t="s">
        <v>96</v>
      </c>
      <c r="I29" s="27" t="s">
        <v>97</v>
      </c>
      <c r="J29" s="25"/>
      <c r="K29" s="25" t="str">
        <f>"175,0"</f>
        <v>175,0</v>
      </c>
      <c r="L29" s="25" t="str">
        <f>"108,0975"</f>
        <v>108,0975</v>
      </c>
      <c r="M29" s="24" t="s">
        <v>228</v>
      </c>
    </row>
    <row r="30" spans="1:13">
      <c r="A30" s="13" t="s">
        <v>69</v>
      </c>
      <c r="B30" s="12" t="s">
        <v>188</v>
      </c>
      <c r="C30" s="12" t="s">
        <v>189</v>
      </c>
      <c r="D30" s="12" t="s">
        <v>190</v>
      </c>
      <c r="E30" s="12" t="s">
        <v>379</v>
      </c>
      <c r="F30" s="12" t="s">
        <v>18</v>
      </c>
      <c r="G30" s="23" t="s">
        <v>155</v>
      </c>
      <c r="H30" s="22" t="s">
        <v>155</v>
      </c>
      <c r="I30" s="22" t="s">
        <v>33</v>
      </c>
      <c r="J30" s="13"/>
      <c r="K30" s="13" t="str">
        <f>"87,5"</f>
        <v>87,5</v>
      </c>
      <c r="L30" s="13" t="str">
        <f>"105,0866"</f>
        <v>105,0866</v>
      </c>
      <c r="M30" s="12"/>
    </row>
    <row r="31" spans="1:13">
      <c r="B31" s="5" t="s">
        <v>10</v>
      </c>
    </row>
    <row r="32" spans="1:13" ht="16">
      <c r="A32" s="54" t="s">
        <v>115</v>
      </c>
      <c r="B32" s="54"/>
      <c r="C32" s="55"/>
      <c r="D32" s="55"/>
      <c r="E32" s="55"/>
      <c r="F32" s="55"/>
      <c r="G32" s="55"/>
      <c r="H32" s="55"/>
      <c r="I32" s="55"/>
      <c r="J32" s="55"/>
    </row>
    <row r="33" spans="1:13">
      <c r="A33" s="9" t="s">
        <v>69</v>
      </c>
      <c r="B33" s="8" t="s">
        <v>191</v>
      </c>
      <c r="C33" s="8" t="s">
        <v>192</v>
      </c>
      <c r="D33" s="8" t="s">
        <v>193</v>
      </c>
      <c r="E33" s="8" t="s">
        <v>377</v>
      </c>
      <c r="F33" s="8" t="s">
        <v>194</v>
      </c>
      <c r="G33" s="18" t="s">
        <v>164</v>
      </c>
      <c r="H33" s="19" t="s">
        <v>20</v>
      </c>
      <c r="I33" s="19" t="s">
        <v>20</v>
      </c>
      <c r="J33" s="9"/>
      <c r="K33" s="9" t="str">
        <f>"130,0"</f>
        <v>130,0</v>
      </c>
      <c r="L33" s="9" t="str">
        <f>"86,9210"</f>
        <v>86,9210</v>
      </c>
      <c r="M33" s="8"/>
    </row>
    <row r="34" spans="1:13">
      <c r="B34" s="5" t="s">
        <v>10</v>
      </c>
    </row>
  </sheetData>
  <mergeCells count="19">
    <mergeCell ref="A32:J32"/>
    <mergeCell ref="B3:B4"/>
    <mergeCell ref="A9:J9"/>
    <mergeCell ref="A12:J12"/>
    <mergeCell ref="A15:J15"/>
    <mergeCell ref="A19:J19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1.33203125" style="6" bestFit="1" customWidth="1"/>
    <col min="12" max="12" width="8.5" style="6" bestFit="1" customWidth="1"/>
    <col min="13" max="13" width="28.6640625" style="5" bestFit="1" customWidth="1"/>
    <col min="14" max="16384" width="9.1640625" style="3"/>
  </cols>
  <sheetData>
    <row r="1" spans="1:13" s="2" customFormat="1" ht="29" customHeight="1">
      <c r="A1" s="43" t="s">
        <v>365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37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106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245</v>
      </c>
      <c r="C6" s="8" t="s">
        <v>246</v>
      </c>
      <c r="D6" s="8" t="s">
        <v>247</v>
      </c>
      <c r="E6" s="8" t="s">
        <v>381</v>
      </c>
      <c r="F6" s="8" t="s">
        <v>169</v>
      </c>
      <c r="G6" s="18" t="s">
        <v>25</v>
      </c>
      <c r="H6" s="18" t="s">
        <v>95</v>
      </c>
      <c r="I6" s="19" t="s">
        <v>35</v>
      </c>
      <c r="J6" s="9"/>
      <c r="K6" s="9" t="str">
        <f>"160,0"</f>
        <v>160,0</v>
      </c>
      <c r="L6" s="9" t="str">
        <f>"113,6912"</f>
        <v>113,6912</v>
      </c>
      <c r="M6" s="8" t="s">
        <v>349</v>
      </c>
    </row>
    <row r="7" spans="1:13">
      <c r="B7" s="5" t="s">
        <v>10</v>
      </c>
    </row>
    <row r="8" spans="1:13" ht="16">
      <c r="A8" s="54" t="s">
        <v>91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9" t="s">
        <v>69</v>
      </c>
      <c r="B9" s="8" t="s">
        <v>248</v>
      </c>
      <c r="C9" s="8" t="s">
        <v>249</v>
      </c>
      <c r="D9" s="8" t="s">
        <v>250</v>
      </c>
      <c r="E9" s="8" t="s">
        <v>381</v>
      </c>
      <c r="F9" s="8" t="s">
        <v>18</v>
      </c>
      <c r="G9" s="18" t="s">
        <v>164</v>
      </c>
      <c r="H9" s="19" t="s">
        <v>20</v>
      </c>
      <c r="I9" s="18" t="s">
        <v>20</v>
      </c>
      <c r="J9" s="9"/>
      <c r="K9" s="9" t="str">
        <f>"140,0"</f>
        <v>140,0</v>
      </c>
      <c r="L9" s="9" t="str">
        <f>"91,4445"</f>
        <v>91,4445</v>
      </c>
      <c r="M9" s="8" t="s">
        <v>134</v>
      </c>
    </row>
    <row r="10" spans="1:13">
      <c r="B10" s="5" t="s">
        <v>10</v>
      </c>
    </row>
    <row r="11" spans="1:13" ht="16">
      <c r="A11" s="54" t="s">
        <v>26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1" t="s">
        <v>69</v>
      </c>
      <c r="B12" s="10" t="s">
        <v>251</v>
      </c>
      <c r="C12" s="10" t="s">
        <v>252</v>
      </c>
      <c r="D12" s="10" t="s">
        <v>253</v>
      </c>
      <c r="E12" s="10" t="s">
        <v>378</v>
      </c>
      <c r="F12" s="10" t="s">
        <v>110</v>
      </c>
      <c r="G12" s="20" t="s">
        <v>95</v>
      </c>
      <c r="H12" s="21" t="s">
        <v>35</v>
      </c>
      <c r="I12" s="21" t="s">
        <v>35</v>
      </c>
      <c r="J12" s="11"/>
      <c r="K12" s="11" t="str">
        <f>"160,0"</f>
        <v>160,0</v>
      </c>
      <c r="L12" s="11" t="str">
        <f>"101,9600"</f>
        <v>101,9600</v>
      </c>
      <c r="M12" s="10" t="s">
        <v>350</v>
      </c>
    </row>
    <row r="13" spans="1:13">
      <c r="A13" s="25" t="s">
        <v>69</v>
      </c>
      <c r="B13" s="24" t="s">
        <v>254</v>
      </c>
      <c r="C13" s="24" t="s">
        <v>255</v>
      </c>
      <c r="D13" s="24" t="s">
        <v>256</v>
      </c>
      <c r="E13" s="24" t="s">
        <v>381</v>
      </c>
      <c r="F13" s="24" t="s">
        <v>18</v>
      </c>
      <c r="G13" s="26" t="s">
        <v>41</v>
      </c>
      <c r="H13" s="27" t="s">
        <v>55</v>
      </c>
      <c r="I13" s="27" t="s">
        <v>55</v>
      </c>
      <c r="J13" s="25"/>
      <c r="K13" s="25" t="str">
        <f>"220,0"</f>
        <v>220,0</v>
      </c>
      <c r="L13" s="25" t="str">
        <f>"135,1570"</f>
        <v>135,1570</v>
      </c>
      <c r="M13" s="24"/>
    </row>
    <row r="14" spans="1:13">
      <c r="A14" s="13" t="s">
        <v>69</v>
      </c>
      <c r="B14" s="12" t="s">
        <v>257</v>
      </c>
      <c r="C14" s="12" t="s">
        <v>258</v>
      </c>
      <c r="D14" s="12" t="s">
        <v>29</v>
      </c>
      <c r="E14" s="12" t="s">
        <v>379</v>
      </c>
      <c r="F14" s="12" t="s">
        <v>18</v>
      </c>
      <c r="G14" s="22" t="s">
        <v>97</v>
      </c>
      <c r="H14" s="22" t="s">
        <v>37</v>
      </c>
      <c r="I14" s="22" t="s">
        <v>114</v>
      </c>
      <c r="J14" s="13"/>
      <c r="K14" s="13" t="str">
        <f>"200,0"</f>
        <v>200,0</v>
      </c>
      <c r="L14" s="13" t="str">
        <f>"203,6016"</f>
        <v>203,6016</v>
      </c>
      <c r="M14" s="12"/>
    </row>
    <row r="15" spans="1:13">
      <c r="B15" s="5" t="s">
        <v>10</v>
      </c>
    </row>
    <row r="16" spans="1:13" ht="16">
      <c r="A16" s="54" t="s">
        <v>115</v>
      </c>
      <c r="B16" s="54"/>
      <c r="C16" s="55"/>
      <c r="D16" s="55"/>
      <c r="E16" s="55"/>
      <c r="F16" s="55"/>
      <c r="G16" s="55"/>
      <c r="H16" s="55"/>
      <c r="I16" s="55"/>
      <c r="J16" s="55"/>
    </row>
    <row r="17" spans="1:13">
      <c r="A17" s="9" t="s">
        <v>69</v>
      </c>
      <c r="B17" s="8" t="s">
        <v>259</v>
      </c>
      <c r="C17" s="8" t="s">
        <v>260</v>
      </c>
      <c r="D17" s="8" t="s">
        <v>261</v>
      </c>
      <c r="E17" s="8" t="s">
        <v>381</v>
      </c>
      <c r="F17" s="8" t="s">
        <v>18</v>
      </c>
      <c r="G17" s="18" t="s">
        <v>55</v>
      </c>
      <c r="H17" s="18" t="s">
        <v>45</v>
      </c>
      <c r="I17" s="19" t="s">
        <v>262</v>
      </c>
      <c r="J17" s="9"/>
      <c r="K17" s="9" t="str">
        <f>"245,0"</f>
        <v>245,0</v>
      </c>
      <c r="L17" s="9" t="str">
        <f>"138,9885"</f>
        <v>138,9885</v>
      </c>
      <c r="M17" s="8"/>
    </row>
    <row r="18" spans="1:13">
      <c r="B18" s="5" t="s">
        <v>10</v>
      </c>
    </row>
  </sheetData>
  <mergeCells count="15">
    <mergeCell ref="A8:J8"/>
    <mergeCell ref="A11:J11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4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9" width="5.5" style="6" customWidth="1"/>
    <col min="10" max="10" width="4.5" style="6" customWidth="1"/>
    <col min="11" max="11" width="11.33203125" style="33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3" t="s">
        <v>366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12</v>
      </c>
      <c r="H3" s="37"/>
      <c r="I3" s="37"/>
      <c r="J3" s="37"/>
      <c r="K3" s="58" t="s">
        <v>128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9"/>
      <c r="L4" s="38"/>
      <c r="M4" s="40"/>
    </row>
    <row r="5" spans="1:13" ht="16">
      <c r="A5" s="41" t="s">
        <v>106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9" t="s">
        <v>69</v>
      </c>
      <c r="B6" s="8" t="s">
        <v>107</v>
      </c>
      <c r="C6" s="8" t="s">
        <v>108</v>
      </c>
      <c r="D6" s="8" t="s">
        <v>109</v>
      </c>
      <c r="E6" s="8" t="s">
        <v>377</v>
      </c>
      <c r="F6" s="8" t="s">
        <v>110</v>
      </c>
      <c r="G6" s="18" t="s">
        <v>104</v>
      </c>
      <c r="H6" s="18" t="s">
        <v>51</v>
      </c>
      <c r="I6" s="19" t="s">
        <v>61</v>
      </c>
      <c r="J6" s="9"/>
      <c r="K6" s="34" t="str">
        <f>"225,0"</f>
        <v>225,0</v>
      </c>
      <c r="L6" s="9" t="str">
        <f>"159,6861"</f>
        <v>159,6861</v>
      </c>
      <c r="M6" s="8" t="s">
        <v>211</v>
      </c>
    </row>
    <row r="7" spans="1:13">
      <c r="B7" s="5" t="s">
        <v>10</v>
      </c>
    </row>
    <row r="8" spans="1:13" ht="16">
      <c r="A8" s="54" t="s">
        <v>57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9" t="s">
        <v>129</v>
      </c>
      <c r="B9" s="8" t="s">
        <v>111</v>
      </c>
      <c r="C9" s="8" t="s">
        <v>112</v>
      </c>
      <c r="D9" s="8" t="s">
        <v>113</v>
      </c>
      <c r="E9" s="8" t="s">
        <v>381</v>
      </c>
      <c r="F9" s="8" t="s">
        <v>110</v>
      </c>
      <c r="G9" s="19" t="s">
        <v>114</v>
      </c>
      <c r="H9" s="19" t="s">
        <v>114</v>
      </c>
      <c r="I9" s="19" t="s">
        <v>114</v>
      </c>
      <c r="J9" s="9"/>
      <c r="K9" s="34">
        <v>0</v>
      </c>
      <c r="L9" s="9" t="str">
        <f>"0,0000"</f>
        <v>0,0000</v>
      </c>
      <c r="M9" s="8" t="s">
        <v>211</v>
      </c>
    </row>
    <row r="10" spans="1:13">
      <c r="B10" s="5" t="s">
        <v>10</v>
      </c>
    </row>
    <row r="11" spans="1:13" ht="16">
      <c r="A11" s="54" t="s">
        <v>115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1" t="s">
        <v>69</v>
      </c>
      <c r="B12" s="10" t="s">
        <v>116</v>
      </c>
      <c r="C12" s="10" t="s">
        <v>117</v>
      </c>
      <c r="D12" s="10" t="s">
        <v>118</v>
      </c>
      <c r="E12" s="10" t="s">
        <v>381</v>
      </c>
      <c r="F12" s="10" t="s">
        <v>110</v>
      </c>
      <c r="G12" s="20" t="s">
        <v>119</v>
      </c>
      <c r="H12" s="20" t="s">
        <v>120</v>
      </c>
      <c r="I12" s="21" t="s">
        <v>121</v>
      </c>
      <c r="J12" s="11"/>
      <c r="K12" s="35" t="str">
        <f>"305,0"</f>
        <v>305,0</v>
      </c>
      <c r="L12" s="11" t="str">
        <f>"173,4992"</f>
        <v>173,4992</v>
      </c>
      <c r="M12" s="10"/>
    </row>
    <row r="13" spans="1:13">
      <c r="A13" s="13" t="s">
        <v>69</v>
      </c>
      <c r="B13" s="12" t="s">
        <v>122</v>
      </c>
      <c r="C13" s="12" t="s">
        <v>123</v>
      </c>
      <c r="D13" s="12" t="s">
        <v>124</v>
      </c>
      <c r="E13" s="12" t="s">
        <v>377</v>
      </c>
      <c r="F13" s="12" t="s">
        <v>110</v>
      </c>
      <c r="G13" s="22" t="s">
        <v>104</v>
      </c>
      <c r="H13" s="22" t="s">
        <v>41</v>
      </c>
      <c r="I13" s="22" t="s">
        <v>125</v>
      </c>
      <c r="J13" s="13"/>
      <c r="K13" s="36" t="str">
        <f>"222,5"</f>
        <v>222,5</v>
      </c>
      <c r="L13" s="13" t="str">
        <f>"135,1032"</f>
        <v>135,1032</v>
      </c>
      <c r="M13" s="12" t="s">
        <v>211</v>
      </c>
    </row>
    <row r="14" spans="1:13">
      <c r="B14" s="5" t="s">
        <v>10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sqref="A1:K2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7" width="7.5" style="6" customWidth="1"/>
    <col min="8" max="8" width="10" style="30" customWidth="1"/>
    <col min="9" max="9" width="7.6640625" style="6" bestFit="1" customWidth="1"/>
    <col min="10" max="10" width="9.5" style="6" bestFit="1" customWidth="1"/>
    <col min="11" max="11" width="18" style="5" bestFit="1" customWidth="1"/>
    <col min="12" max="16384" width="9.1640625" style="3"/>
  </cols>
  <sheetData>
    <row r="1" spans="1:11" s="2" customFormat="1" ht="29" customHeight="1">
      <c r="A1" s="43" t="s">
        <v>367</v>
      </c>
      <c r="B1" s="44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297</v>
      </c>
      <c r="H3" s="37"/>
      <c r="I3" s="37" t="s">
        <v>303</v>
      </c>
      <c r="J3" s="37" t="s">
        <v>3</v>
      </c>
      <c r="K3" s="39" t="s">
        <v>2</v>
      </c>
    </row>
    <row r="4" spans="1:11" s="1" customFormat="1" ht="21" customHeight="1" thickBot="1">
      <c r="A4" s="52"/>
      <c r="B4" s="57"/>
      <c r="C4" s="38"/>
      <c r="D4" s="38"/>
      <c r="E4" s="38"/>
      <c r="F4" s="38"/>
      <c r="G4" s="4" t="s">
        <v>6</v>
      </c>
      <c r="H4" s="28" t="s">
        <v>7</v>
      </c>
      <c r="I4" s="38"/>
      <c r="J4" s="38"/>
      <c r="K4" s="40"/>
    </row>
    <row r="5" spans="1:11" ht="16">
      <c r="A5" s="41" t="s">
        <v>14</v>
      </c>
      <c r="B5" s="41"/>
      <c r="C5" s="42"/>
      <c r="D5" s="42"/>
      <c r="E5" s="42"/>
      <c r="F5" s="42"/>
      <c r="G5" s="42"/>
      <c r="H5" s="42"/>
    </row>
    <row r="6" spans="1:11">
      <c r="A6" s="9" t="s">
        <v>69</v>
      </c>
      <c r="B6" s="8" t="s">
        <v>298</v>
      </c>
      <c r="C6" s="8" t="s">
        <v>359</v>
      </c>
      <c r="D6" s="8" t="s">
        <v>299</v>
      </c>
      <c r="E6" s="8" t="s">
        <v>382</v>
      </c>
      <c r="F6" s="8" t="s">
        <v>18</v>
      </c>
      <c r="G6" s="9" t="s">
        <v>88</v>
      </c>
      <c r="H6" s="29">
        <v>31</v>
      </c>
      <c r="I6" s="9" t="str">
        <f>"2015,0"</f>
        <v>2015,0</v>
      </c>
      <c r="J6" s="9" t="str">
        <f>"2268,7785"</f>
        <v>2268,7785</v>
      </c>
      <c r="K6" s="8" t="s">
        <v>308</v>
      </c>
    </row>
    <row r="7" spans="1:11">
      <c r="B7" s="5" t="s">
        <v>10</v>
      </c>
    </row>
    <row r="8" spans="1:11" ht="16">
      <c r="A8" s="54" t="s">
        <v>26</v>
      </c>
      <c r="B8" s="54"/>
      <c r="C8" s="55"/>
      <c r="D8" s="55"/>
      <c r="E8" s="55"/>
      <c r="F8" s="55"/>
      <c r="G8" s="55"/>
      <c r="H8" s="55"/>
    </row>
    <row r="9" spans="1:11">
      <c r="A9" s="9" t="s">
        <v>69</v>
      </c>
      <c r="B9" s="8" t="s">
        <v>300</v>
      </c>
      <c r="C9" s="8" t="s">
        <v>301</v>
      </c>
      <c r="D9" s="8" t="s">
        <v>302</v>
      </c>
      <c r="E9" s="8" t="s">
        <v>381</v>
      </c>
      <c r="F9" s="8" t="s">
        <v>18</v>
      </c>
      <c r="G9" s="9" t="s">
        <v>87</v>
      </c>
      <c r="H9" s="29">
        <v>51</v>
      </c>
      <c r="I9" s="9" t="str">
        <f>"4590,0"</f>
        <v>4590,0</v>
      </c>
      <c r="J9" s="9" t="str">
        <f>"2823,3091"</f>
        <v>2823,3091</v>
      </c>
      <c r="K9" s="8" t="s">
        <v>355</v>
      </c>
    </row>
    <row r="10" spans="1:11">
      <c r="B10" s="5" t="s">
        <v>10</v>
      </c>
    </row>
  </sheetData>
  <mergeCells count="13">
    <mergeCell ref="A8:H8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workbookViewId="0">
      <selection sqref="A1:K2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9" style="5" bestFit="1" customWidth="1"/>
    <col min="4" max="4" width="20.83203125" style="5" bestFit="1" customWidth="1"/>
    <col min="5" max="5" width="10.1640625" style="5" bestFit="1" customWidth="1"/>
    <col min="6" max="6" width="20.33203125" style="5" bestFit="1" customWidth="1"/>
    <col min="7" max="7" width="8.5" style="6" customWidth="1"/>
    <col min="8" max="8" width="10" style="30" customWidth="1"/>
    <col min="9" max="9" width="7.6640625" style="6" bestFit="1" customWidth="1"/>
    <col min="10" max="10" width="9.5" style="6" bestFit="1" customWidth="1"/>
    <col min="11" max="11" width="19.83203125" style="5" customWidth="1"/>
    <col min="12" max="16384" width="9.1640625" style="3"/>
  </cols>
  <sheetData>
    <row r="1" spans="1:11" s="2" customFormat="1" ht="29" customHeight="1">
      <c r="A1" s="43" t="s">
        <v>368</v>
      </c>
      <c r="B1" s="44"/>
      <c r="C1" s="45"/>
      <c r="D1" s="45"/>
      <c r="E1" s="45"/>
      <c r="F1" s="45"/>
      <c r="G1" s="45"/>
      <c r="H1" s="45"/>
      <c r="I1" s="45"/>
      <c r="J1" s="45"/>
      <c r="K1" s="46"/>
    </row>
    <row r="2" spans="1:1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2.75" customHeight="1">
      <c r="A3" s="51" t="s">
        <v>373</v>
      </c>
      <c r="B3" s="56" t="s">
        <v>0</v>
      </c>
      <c r="C3" s="53" t="s">
        <v>375</v>
      </c>
      <c r="D3" s="53" t="s">
        <v>8</v>
      </c>
      <c r="E3" s="37" t="s">
        <v>376</v>
      </c>
      <c r="F3" s="37" t="s">
        <v>5</v>
      </c>
      <c r="G3" s="37" t="s">
        <v>297</v>
      </c>
      <c r="H3" s="37"/>
      <c r="I3" s="37" t="s">
        <v>303</v>
      </c>
      <c r="J3" s="37" t="s">
        <v>3</v>
      </c>
      <c r="K3" s="39" t="s">
        <v>2</v>
      </c>
    </row>
    <row r="4" spans="1:11" s="1" customFormat="1" ht="21" customHeight="1" thickBot="1">
      <c r="A4" s="52"/>
      <c r="B4" s="57"/>
      <c r="C4" s="38"/>
      <c r="D4" s="38"/>
      <c r="E4" s="38"/>
      <c r="F4" s="38"/>
      <c r="G4" s="4" t="s">
        <v>6</v>
      </c>
      <c r="H4" s="28" t="s">
        <v>7</v>
      </c>
      <c r="I4" s="38"/>
      <c r="J4" s="38"/>
      <c r="K4" s="40"/>
    </row>
    <row r="5" spans="1:11" ht="16">
      <c r="A5" s="41" t="s">
        <v>304</v>
      </c>
      <c r="B5" s="41"/>
      <c r="C5" s="42"/>
      <c r="D5" s="42"/>
      <c r="E5" s="42"/>
      <c r="F5" s="42"/>
      <c r="G5" s="42"/>
      <c r="H5" s="42"/>
    </row>
    <row r="6" spans="1:11">
      <c r="A6" s="9" t="s">
        <v>69</v>
      </c>
      <c r="B6" s="8" t="s">
        <v>305</v>
      </c>
      <c r="C6" s="8" t="s">
        <v>356</v>
      </c>
      <c r="D6" s="8" t="s">
        <v>306</v>
      </c>
      <c r="E6" s="8" t="s">
        <v>384</v>
      </c>
      <c r="F6" s="8" t="s">
        <v>18</v>
      </c>
      <c r="G6" s="9" t="s">
        <v>307</v>
      </c>
      <c r="H6" s="29">
        <v>34</v>
      </c>
      <c r="I6" s="9" t="str">
        <f>"765,0"</f>
        <v>765,0</v>
      </c>
      <c r="J6" s="9" t="str">
        <f>"962,3700"</f>
        <v>962,3700</v>
      </c>
      <c r="K6" s="8" t="s">
        <v>308</v>
      </c>
    </row>
    <row r="7" spans="1:11">
      <c r="B7" s="5" t="s">
        <v>10</v>
      </c>
    </row>
    <row r="8" spans="1:11" ht="16">
      <c r="A8" s="54" t="s">
        <v>91</v>
      </c>
      <c r="B8" s="54"/>
      <c r="C8" s="55"/>
      <c r="D8" s="55"/>
      <c r="E8" s="55"/>
      <c r="F8" s="55"/>
      <c r="G8" s="55"/>
      <c r="H8" s="55"/>
    </row>
    <row r="9" spans="1:11">
      <c r="A9" s="9" t="s">
        <v>69</v>
      </c>
      <c r="B9" s="8" t="s">
        <v>309</v>
      </c>
      <c r="C9" s="8" t="s">
        <v>310</v>
      </c>
      <c r="D9" s="8" t="s">
        <v>292</v>
      </c>
      <c r="E9" s="8" t="s">
        <v>383</v>
      </c>
      <c r="F9" s="8" t="s">
        <v>18</v>
      </c>
      <c r="G9" s="9" t="s">
        <v>140</v>
      </c>
      <c r="H9" s="29">
        <v>85</v>
      </c>
      <c r="I9" s="9" t="str">
        <f>"3400,0"</f>
        <v>3400,0</v>
      </c>
      <c r="J9" s="9" t="str">
        <f>"3089,4549"</f>
        <v>3089,4549</v>
      </c>
      <c r="K9" s="8" t="s">
        <v>134</v>
      </c>
    </row>
    <row r="10" spans="1:11">
      <c r="B10" s="5" t="s">
        <v>10</v>
      </c>
    </row>
    <row r="11" spans="1:11" ht="16">
      <c r="A11" s="54" t="s">
        <v>26</v>
      </c>
      <c r="B11" s="54"/>
      <c r="C11" s="55"/>
      <c r="D11" s="55"/>
      <c r="E11" s="55"/>
      <c r="F11" s="55"/>
      <c r="G11" s="55"/>
      <c r="H11" s="55"/>
    </row>
    <row r="12" spans="1:11">
      <c r="A12" s="11" t="s">
        <v>69</v>
      </c>
      <c r="B12" s="10" t="s">
        <v>176</v>
      </c>
      <c r="C12" s="10" t="s">
        <v>311</v>
      </c>
      <c r="D12" s="10" t="s">
        <v>50</v>
      </c>
      <c r="E12" s="10" t="s">
        <v>383</v>
      </c>
      <c r="F12" s="10" t="s">
        <v>18</v>
      </c>
      <c r="G12" s="11" t="s">
        <v>145</v>
      </c>
      <c r="H12" s="31">
        <v>56</v>
      </c>
      <c r="I12" s="11" t="str">
        <f>"2520,0"</f>
        <v>2520,0</v>
      </c>
      <c r="J12" s="11" t="str">
        <f>"2379,0932"</f>
        <v>2379,0932</v>
      </c>
      <c r="K12" s="10"/>
    </row>
    <row r="13" spans="1:11">
      <c r="A13" s="13" t="s">
        <v>70</v>
      </c>
      <c r="B13" s="12" t="s">
        <v>312</v>
      </c>
      <c r="C13" s="12" t="s">
        <v>313</v>
      </c>
      <c r="D13" s="12" t="s">
        <v>314</v>
      </c>
      <c r="E13" s="12" t="s">
        <v>383</v>
      </c>
      <c r="F13" s="12" t="s">
        <v>18</v>
      </c>
      <c r="G13" s="13" t="s">
        <v>151</v>
      </c>
      <c r="H13" s="32">
        <v>37</v>
      </c>
      <c r="I13" s="13" t="str">
        <f>"1572,5"</f>
        <v>1572,5</v>
      </c>
      <c r="J13" s="13" t="str">
        <f>"1548,5077"</f>
        <v>1548,5077</v>
      </c>
      <c r="K13" s="12"/>
    </row>
    <row r="14" spans="1:11">
      <c r="B14" s="5" t="s">
        <v>10</v>
      </c>
    </row>
  </sheetData>
  <mergeCells count="14">
    <mergeCell ref="A8:H8"/>
    <mergeCell ref="A11:H11"/>
    <mergeCell ref="B3:B4"/>
    <mergeCell ref="G3:H3"/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WRPF ПЛ без экипировки ДК</vt:lpstr>
      <vt:lpstr>WRPF ПЛ без экипировки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Народный 1 вес</vt:lpstr>
      <vt:lpstr>WRPF Народный 1_2 веса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2021-09-18T14:20:15Z</dcterms:modified>
</cp:coreProperties>
</file>