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Ноябрь/"/>
    </mc:Choice>
  </mc:AlternateContent>
  <xr:revisionPtr revIDLastSave="0" documentId="13_ncr:1_{F2016F23-EB7D-B146-BC35-7E49B7E6BE1F}" xr6:coauthVersionLast="45" xr6:coauthVersionMax="45" xr10:uidLastSave="{00000000-0000-0000-0000-000000000000}"/>
  <bookViews>
    <workbookView xWindow="480" yWindow="460" windowWidth="27760" windowHeight="15980" firstSheet="22" activeTab="28" xr2:uid="{00000000-000D-0000-FFFF-FFFF00000000}"/>
  </bookViews>
  <sheets>
    <sheet name="IPL ПЛ без экипировки ДК" sheetId="7" r:id="rId1"/>
    <sheet name="IPL ПЛ в бинтах ДК" sheetId="9" r:id="rId2"/>
    <sheet name="IPL ПЛ в бинтах" sheetId="8" r:id="rId3"/>
    <sheet name="IPL ПЛ без экипировки" sheetId="6" r:id="rId4"/>
    <sheet name="IPL ПЛ однослой" sheetId="5" r:id="rId5"/>
    <sheet name="IPL Двоеборье без экип ДК" sheetId="24" r:id="rId6"/>
    <sheet name="IPL Двоеборье без экип" sheetId="23" r:id="rId7"/>
    <sheet name="IPL Присед без экипировки ДК" sheetId="20" r:id="rId8"/>
    <sheet name="IPL Присед без экипировки" sheetId="19" r:id="rId9"/>
    <sheet name="IPL Присед в бинтах" sheetId="21" r:id="rId10"/>
    <sheet name="IPL Жим без экипировки ДК" sheetId="11" r:id="rId11"/>
    <sheet name="IPL Жим без экипировки" sheetId="10" r:id="rId12"/>
    <sheet name="IPL Жим однослой ДК" sheetId="13" r:id="rId13"/>
    <sheet name="IPL Жим многослой" sheetId="14" r:id="rId14"/>
    <sheet name="IPL Жим однослой" sheetId="12" r:id="rId15"/>
    <sheet name="СПР Жим софт однопетельная ДК" sheetId="80" r:id="rId16"/>
    <sheet name="СПР Жим софт однопетельная" sheetId="79" r:id="rId17"/>
    <sheet name="СПР Жим софт многопетельная" sheetId="81" r:id="rId18"/>
    <sheet name="СПР Жим СФО" sheetId="52" r:id="rId19"/>
    <sheet name="IPL Тяга без экипировки ДК" sheetId="16" r:id="rId20"/>
    <sheet name="IPL Тяга без экипировки" sheetId="15" r:id="rId21"/>
    <sheet name="IPL Тяга однослой ДК" sheetId="18" r:id="rId22"/>
    <sheet name="IPL Тяга однослой" sheetId="17" r:id="rId23"/>
    <sheet name="СПР Пауэрспорт ДК" sheetId="51" r:id="rId24"/>
    <sheet name="СПР Пауэрспорт" sheetId="50" r:id="rId25"/>
    <sheet name="СПР Жим стоя ДК" sheetId="47" r:id="rId26"/>
    <sheet name="СПР Жим стоя" sheetId="46" r:id="rId27"/>
    <sheet name="СПР Подъем на бицепс ДК" sheetId="49" r:id="rId28"/>
    <sheet name="СПР Подъем на бицепс" sheetId="48" r:id="rId29"/>
  </sheets>
  <definedNames>
    <definedName name="_FilterDatabase" localSheetId="4" hidden="1">'IPL ПЛ однослой'!$A$1:$S$3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81" l="1"/>
  <c r="L6" i="81"/>
  <c r="L25" i="80"/>
  <c r="K25" i="80"/>
  <c r="L24" i="80"/>
  <c r="K24" i="80"/>
  <c r="L23" i="80"/>
  <c r="K23" i="80"/>
  <c r="L20" i="80"/>
  <c r="L17" i="80"/>
  <c r="K17" i="80"/>
  <c r="L14" i="80"/>
  <c r="K14" i="80"/>
  <c r="L11" i="80"/>
  <c r="K11" i="80"/>
  <c r="L10" i="80"/>
  <c r="K10" i="80"/>
  <c r="L7" i="80"/>
  <c r="K7" i="80"/>
  <c r="L6" i="80"/>
  <c r="K6" i="80"/>
  <c r="L9" i="79"/>
  <c r="K9" i="79"/>
  <c r="L6" i="79"/>
  <c r="K6" i="79"/>
  <c r="L44" i="52"/>
  <c r="K44" i="52"/>
  <c r="L41" i="52"/>
  <c r="K41" i="52"/>
  <c r="L38" i="52"/>
  <c r="K38" i="52"/>
  <c r="L37" i="52"/>
  <c r="K37" i="52"/>
  <c r="L34" i="52"/>
  <c r="K34" i="52"/>
  <c r="L31" i="52"/>
  <c r="K31" i="52"/>
  <c r="L30" i="52"/>
  <c r="K30" i="52"/>
  <c r="L29" i="52"/>
  <c r="K29" i="52"/>
  <c r="L28" i="52"/>
  <c r="K28" i="52"/>
  <c r="L25" i="52"/>
  <c r="K25" i="52"/>
  <c r="L24" i="52"/>
  <c r="K24" i="52"/>
  <c r="L21" i="52"/>
  <c r="K21" i="52"/>
  <c r="L20" i="52"/>
  <c r="K20" i="52"/>
  <c r="L17" i="52"/>
  <c r="K17" i="52"/>
  <c r="L14" i="52"/>
  <c r="K14" i="52"/>
  <c r="L13" i="52"/>
  <c r="K13" i="52"/>
  <c r="L10" i="52"/>
  <c r="K10" i="52"/>
  <c r="L7" i="52"/>
  <c r="K7" i="52"/>
  <c r="L6" i="52"/>
  <c r="K6" i="52"/>
  <c r="P49" i="51"/>
  <c r="O49" i="51"/>
  <c r="P48" i="51"/>
  <c r="O48" i="51"/>
  <c r="P45" i="51"/>
  <c r="P44" i="51"/>
  <c r="O44" i="51"/>
  <c r="P41" i="51"/>
  <c r="O41" i="51"/>
  <c r="P40" i="51"/>
  <c r="P39" i="51"/>
  <c r="O39" i="51"/>
  <c r="P36" i="51"/>
  <c r="O36" i="51"/>
  <c r="P35" i="51"/>
  <c r="O35" i="51"/>
  <c r="P34" i="51"/>
  <c r="O34" i="51"/>
  <c r="P31" i="51"/>
  <c r="O31" i="51"/>
  <c r="P28" i="51"/>
  <c r="O28" i="51"/>
  <c r="P25" i="51"/>
  <c r="O25" i="51"/>
  <c r="P22" i="51"/>
  <c r="O22" i="51"/>
  <c r="P19" i="51"/>
  <c r="O19" i="51"/>
  <c r="P16" i="51"/>
  <c r="O16" i="51"/>
  <c r="P15" i="51"/>
  <c r="O15" i="51"/>
  <c r="P14" i="51"/>
  <c r="O14" i="51"/>
  <c r="P13" i="51"/>
  <c r="O13" i="51"/>
  <c r="P12" i="51"/>
  <c r="O12" i="51"/>
  <c r="P9" i="51"/>
  <c r="O9" i="51"/>
  <c r="P8" i="51"/>
  <c r="O8" i="51"/>
  <c r="P7" i="51"/>
  <c r="O7" i="51"/>
  <c r="P6" i="51"/>
  <c r="O6" i="51"/>
  <c r="P20" i="50"/>
  <c r="O20" i="50"/>
  <c r="P19" i="50"/>
  <c r="O19" i="50"/>
  <c r="P16" i="50"/>
  <c r="O16" i="50"/>
  <c r="P15" i="50"/>
  <c r="O15" i="50"/>
  <c r="P12" i="50"/>
  <c r="O12" i="50"/>
  <c r="P11" i="50"/>
  <c r="O11" i="50"/>
  <c r="P10" i="50"/>
  <c r="O10" i="50"/>
  <c r="P7" i="50"/>
  <c r="O7" i="50"/>
  <c r="P6" i="50"/>
  <c r="O6" i="50"/>
  <c r="L65" i="49"/>
  <c r="K65" i="49"/>
  <c r="L62" i="49"/>
  <c r="K62" i="49"/>
  <c r="L61" i="49"/>
  <c r="K61" i="49"/>
  <c r="L58" i="49"/>
  <c r="K58" i="49"/>
  <c r="L57" i="49"/>
  <c r="K57" i="49"/>
  <c r="L56" i="49"/>
  <c r="K56" i="49"/>
  <c r="L55" i="49"/>
  <c r="K55" i="49"/>
  <c r="L54" i="49"/>
  <c r="K54" i="49"/>
  <c r="L53" i="49"/>
  <c r="K53" i="49"/>
  <c r="L50" i="49"/>
  <c r="K50" i="49"/>
  <c r="L49" i="49"/>
  <c r="K49" i="49"/>
  <c r="L48" i="49"/>
  <c r="K48" i="49"/>
  <c r="L47" i="49"/>
  <c r="K47" i="49"/>
  <c r="L46" i="49"/>
  <c r="K46" i="49"/>
  <c r="L45" i="49"/>
  <c r="K45" i="49"/>
  <c r="L44" i="49"/>
  <c r="K44" i="49"/>
  <c r="L41" i="49"/>
  <c r="K41" i="49"/>
  <c r="L40" i="49"/>
  <c r="K40" i="49"/>
  <c r="L39" i="49"/>
  <c r="K39" i="49"/>
  <c r="L38" i="49"/>
  <c r="K38" i="49"/>
  <c r="L37" i="49"/>
  <c r="K37" i="49"/>
  <c r="L34" i="49"/>
  <c r="K34" i="49"/>
  <c r="L33" i="49"/>
  <c r="K33" i="49"/>
  <c r="L32" i="49"/>
  <c r="K32" i="49"/>
  <c r="L31" i="49"/>
  <c r="K31" i="49"/>
  <c r="L30" i="49"/>
  <c r="K30" i="49"/>
  <c r="L27" i="49"/>
  <c r="K27" i="49"/>
  <c r="L24" i="49"/>
  <c r="K24" i="49"/>
  <c r="L21" i="49"/>
  <c r="K21" i="49"/>
  <c r="L18" i="49"/>
  <c r="K18" i="49"/>
  <c r="L17" i="49"/>
  <c r="K17" i="49"/>
  <c r="L14" i="49"/>
  <c r="K14" i="49"/>
  <c r="L13" i="49"/>
  <c r="K13" i="49"/>
  <c r="L12" i="49"/>
  <c r="K12" i="49"/>
  <c r="L11" i="49"/>
  <c r="K11" i="49"/>
  <c r="L10" i="49"/>
  <c r="K10" i="49"/>
  <c r="L7" i="49"/>
  <c r="K7" i="49"/>
  <c r="L6" i="49"/>
  <c r="K6" i="49"/>
  <c r="L38" i="48"/>
  <c r="K38" i="48"/>
  <c r="L37" i="48"/>
  <c r="K37" i="48"/>
  <c r="L36" i="48"/>
  <c r="K36" i="48"/>
  <c r="L33" i="48"/>
  <c r="K33" i="48"/>
  <c r="L32" i="48"/>
  <c r="K32" i="48"/>
  <c r="L31" i="48"/>
  <c r="K31" i="48"/>
  <c r="L30" i="48"/>
  <c r="K30" i="48"/>
  <c r="L29" i="48"/>
  <c r="L26" i="48"/>
  <c r="K26" i="48"/>
  <c r="L25" i="48"/>
  <c r="K25" i="48"/>
  <c r="L24" i="48"/>
  <c r="K24" i="48"/>
  <c r="L23" i="48"/>
  <c r="K23" i="48"/>
  <c r="L22" i="48"/>
  <c r="K22" i="48"/>
  <c r="L19" i="48"/>
  <c r="K19" i="48"/>
  <c r="L18" i="48"/>
  <c r="K18" i="48"/>
  <c r="L15" i="48"/>
  <c r="K15" i="48"/>
  <c r="L12" i="48"/>
  <c r="K12" i="48"/>
  <c r="L9" i="48"/>
  <c r="K9" i="48"/>
  <c r="L6" i="48"/>
  <c r="K6" i="48"/>
  <c r="L19" i="47"/>
  <c r="K19" i="47"/>
  <c r="L16" i="47"/>
  <c r="K16" i="47"/>
  <c r="L13" i="47"/>
  <c r="K13" i="47"/>
  <c r="L10" i="47"/>
  <c r="K10" i="47"/>
  <c r="L7" i="47"/>
  <c r="K7" i="47"/>
  <c r="L6" i="47"/>
  <c r="K6" i="47"/>
  <c r="L6" i="46"/>
  <c r="K6" i="46"/>
  <c r="P45" i="24"/>
  <c r="O45" i="24"/>
  <c r="P42" i="24"/>
  <c r="O42" i="24"/>
  <c r="P39" i="24"/>
  <c r="O39" i="24"/>
  <c r="P38" i="24"/>
  <c r="O38" i="24"/>
  <c r="P37" i="24"/>
  <c r="O37" i="24"/>
  <c r="P34" i="24"/>
  <c r="O34" i="24"/>
  <c r="P31" i="24"/>
  <c r="O31" i="24"/>
  <c r="P30" i="24"/>
  <c r="O30" i="24"/>
  <c r="P27" i="24"/>
  <c r="O27" i="24"/>
  <c r="P26" i="24"/>
  <c r="O26" i="24"/>
  <c r="P23" i="24"/>
  <c r="O23" i="24"/>
  <c r="P20" i="24"/>
  <c r="O20" i="24"/>
  <c r="P19" i="24"/>
  <c r="O19" i="24"/>
  <c r="P16" i="24"/>
  <c r="O16" i="24"/>
  <c r="P13" i="24"/>
  <c r="O13" i="24"/>
  <c r="P10" i="24"/>
  <c r="O10" i="24"/>
  <c r="P9" i="24"/>
  <c r="O9" i="24"/>
  <c r="P6" i="24"/>
  <c r="O6" i="24"/>
  <c r="P18" i="23"/>
  <c r="O18" i="23"/>
  <c r="P15" i="23"/>
  <c r="O15" i="23"/>
  <c r="P12" i="23"/>
  <c r="O12" i="23"/>
  <c r="P9" i="23"/>
  <c r="O9" i="23"/>
  <c r="P6" i="23"/>
  <c r="O6" i="23"/>
  <c r="L6" i="21"/>
  <c r="K6" i="21"/>
  <c r="L31" i="20"/>
  <c r="K31" i="20"/>
  <c r="L28" i="20"/>
  <c r="K28" i="20"/>
  <c r="L25" i="20"/>
  <c r="K25" i="20"/>
  <c r="L22" i="20"/>
  <c r="K22" i="20"/>
  <c r="L19" i="20"/>
  <c r="K19" i="20"/>
  <c r="L16" i="20"/>
  <c r="K16" i="20"/>
  <c r="L13" i="20"/>
  <c r="K13" i="20"/>
  <c r="L10" i="20"/>
  <c r="K10" i="20"/>
  <c r="L9" i="20"/>
  <c r="K9" i="20"/>
  <c r="L6" i="20"/>
  <c r="K6" i="20"/>
  <c r="L6" i="19"/>
  <c r="K6" i="19"/>
  <c r="L6" i="18"/>
  <c r="K6" i="18"/>
  <c r="L7" i="17"/>
  <c r="K7" i="17"/>
  <c r="L6" i="17"/>
  <c r="K6" i="17"/>
  <c r="L67" i="16"/>
  <c r="K67" i="16"/>
  <c r="L66" i="16"/>
  <c r="K66" i="16"/>
  <c r="L65" i="16"/>
  <c r="K65" i="16"/>
  <c r="L62" i="16"/>
  <c r="K62" i="16"/>
  <c r="L59" i="16"/>
  <c r="K59" i="16"/>
  <c r="L58" i="16"/>
  <c r="K58" i="16"/>
  <c r="L55" i="16"/>
  <c r="K55" i="16"/>
  <c r="L54" i="16"/>
  <c r="K54" i="16"/>
  <c r="L51" i="16"/>
  <c r="K51" i="16"/>
  <c r="L50" i="16"/>
  <c r="K50" i="16"/>
  <c r="L49" i="16"/>
  <c r="K49" i="16"/>
  <c r="L48" i="16"/>
  <c r="K48" i="16"/>
  <c r="L47" i="16"/>
  <c r="K47" i="16"/>
  <c r="L46" i="16"/>
  <c r="K46" i="16"/>
  <c r="L45" i="16"/>
  <c r="K45" i="16"/>
  <c r="L44" i="16"/>
  <c r="K44" i="16"/>
  <c r="L41" i="16"/>
  <c r="K41" i="16"/>
  <c r="L40" i="16"/>
  <c r="K40" i="16"/>
  <c r="L39" i="16"/>
  <c r="K39" i="16"/>
  <c r="L38" i="16"/>
  <c r="K38" i="16"/>
  <c r="L35" i="16"/>
  <c r="K35" i="16"/>
  <c r="L32" i="16"/>
  <c r="K32" i="16"/>
  <c r="L31" i="16"/>
  <c r="K31" i="16"/>
  <c r="L28" i="16"/>
  <c r="K28" i="16"/>
  <c r="L27" i="16"/>
  <c r="K27" i="16"/>
  <c r="L24" i="16"/>
  <c r="K24" i="16"/>
  <c r="L21" i="16"/>
  <c r="K21" i="16"/>
  <c r="L20" i="16"/>
  <c r="K20" i="16"/>
  <c r="L19" i="16"/>
  <c r="K19" i="16"/>
  <c r="L18" i="16"/>
  <c r="K18" i="16"/>
  <c r="L17" i="16"/>
  <c r="K17" i="16"/>
  <c r="L16" i="16"/>
  <c r="K16" i="16"/>
  <c r="L15" i="16"/>
  <c r="K15" i="16"/>
  <c r="L12" i="16"/>
  <c r="K12" i="16"/>
  <c r="L11" i="16"/>
  <c r="K11" i="16"/>
  <c r="L10" i="16"/>
  <c r="K10" i="16"/>
  <c r="L7" i="16"/>
  <c r="K7" i="16"/>
  <c r="L6" i="16"/>
  <c r="K6" i="16"/>
  <c r="L27" i="15"/>
  <c r="K27" i="15"/>
  <c r="L26" i="15"/>
  <c r="K26" i="15"/>
  <c r="L23" i="15"/>
  <c r="K23" i="15"/>
  <c r="L22" i="15"/>
  <c r="K22" i="15"/>
  <c r="L21" i="15"/>
  <c r="K21" i="15"/>
  <c r="L20" i="15"/>
  <c r="K20" i="15"/>
  <c r="L19" i="15"/>
  <c r="K19" i="15"/>
  <c r="L18" i="15"/>
  <c r="K18" i="15"/>
  <c r="L15" i="15"/>
  <c r="K15" i="15"/>
  <c r="L12" i="15"/>
  <c r="K12" i="15"/>
  <c r="L9" i="15"/>
  <c r="K9" i="15"/>
  <c r="L6" i="15"/>
  <c r="K6" i="15"/>
  <c r="L6" i="14"/>
  <c r="L7" i="13"/>
  <c r="L6" i="13"/>
  <c r="L21" i="12"/>
  <c r="K21" i="12"/>
  <c r="L18" i="12"/>
  <c r="K18" i="12"/>
  <c r="L17" i="12"/>
  <c r="K17" i="12"/>
  <c r="L16" i="12"/>
  <c r="K16" i="12"/>
  <c r="L15" i="12"/>
  <c r="K15" i="12"/>
  <c r="L12" i="12"/>
  <c r="K12" i="12"/>
  <c r="L11" i="12"/>
  <c r="K11" i="12"/>
  <c r="L8" i="12"/>
  <c r="K8" i="12"/>
  <c r="L7" i="12"/>
  <c r="K7" i="12"/>
  <c r="L6" i="12"/>
  <c r="K6" i="12"/>
  <c r="L121" i="11"/>
  <c r="K121" i="11"/>
  <c r="L120" i="11"/>
  <c r="K120" i="11"/>
  <c r="L119" i="11"/>
  <c r="K119" i="11"/>
  <c r="L116" i="11"/>
  <c r="K116" i="11"/>
  <c r="L115" i="11"/>
  <c r="L114" i="11"/>
  <c r="K114" i="11"/>
  <c r="L113" i="11"/>
  <c r="K113" i="11"/>
  <c r="L112" i="11"/>
  <c r="K112" i="11"/>
  <c r="L109" i="11"/>
  <c r="K109" i="11"/>
  <c r="L108" i="11"/>
  <c r="K108" i="11"/>
  <c r="L107" i="11"/>
  <c r="K107" i="11"/>
  <c r="L106" i="11"/>
  <c r="K106" i="11"/>
  <c r="L105" i="11"/>
  <c r="K105" i="11"/>
  <c r="L104" i="11"/>
  <c r="K104" i="11"/>
  <c r="L103" i="11"/>
  <c r="K103" i="11"/>
  <c r="L102" i="11"/>
  <c r="K102" i="11"/>
  <c r="L101" i="11"/>
  <c r="K101" i="11"/>
  <c r="L100" i="11"/>
  <c r="K100" i="11"/>
  <c r="L99" i="11"/>
  <c r="K99" i="11"/>
  <c r="L98" i="11"/>
  <c r="K98" i="11"/>
  <c r="L97" i="11"/>
  <c r="K97" i="11"/>
  <c r="L96" i="11"/>
  <c r="K96" i="11"/>
  <c r="L95" i="11"/>
  <c r="K95" i="11"/>
  <c r="L92" i="11"/>
  <c r="K92" i="11"/>
  <c r="L91" i="11"/>
  <c r="K91" i="11"/>
  <c r="L90" i="11"/>
  <c r="K90" i="11"/>
  <c r="L89" i="11"/>
  <c r="K89" i="11"/>
  <c r="L88" i="11"/>
  <c r="K88" i="11"/>
  <c r="L87" i="11"/>
  <c r="K87" i="11"/>
  <c r="L84" i="11"/>
  <c r="K84" i="11"/>
  <c r="L83" i="11"/>
  <c r="K83" i="11"/>
  <c r="L82" i="11"/>
  <c r="K82" i="11"/>
  <c r="L81" i="11"/>
  <c r="K81" i="11"/>
  <c r="L80" i="11"/>
  <c r="K80" i="11"/>
  <c r="L77" i="11"/>
  <c r="K77" i="11"/>
  <c r="L76" i="11"/>
  <c r="K76" i="11"/>
  <c r="L75" i="11"/>
  <c r="K75" i="11"/>
  <c r="L74" i="11"/>
  <c r="K74" i="11"/>
  <c r="L73" i="11"/>
  <c r="L72" i="11"/>
  <c r="K72" i="11"/>
  <c r="L71" i="11"/>
  <c r="K71" i="11"/>
  <c r="L70" i="11"/>
  <c r="K70" i="11"/>
  <c r="L69" i="11"/>
  <c r="K69" i="11"/>
  <c r="L68" i="11"/>
  <c r="K68" i="11"/>
  <c r="L67" i="11"/>
  <c r="K67" i="11"/>
  <c r="L66" i="11"/>
  <c r="K66" i="11"/>
  <c r="L65" i="11"/>
  <c r="K65" i="11"/>
  <c r="L62" i="11"/>
  <c r="K62" i="11"/>
  <c r="L61" i="11"/>
  <c r="K61" i="11"/>
  <c r="L60" i="11"/>
  <c r="K60" i="11"/>
  <c r="L59" i="11"/>
  <c r="K59" i="11"/>
  <c r="L58" i="11"/>
  <c r="K58" i="11"/>
  <c r="L57" i="11"/>
  <c r="K57" i="11"/>
  <c r="L56" i="11"/>
  <c r="K56" i="11"/>
  <c r="L55" i="11"/>
  <c r="K55" i="11"/>
  <c r="L52" i="11"/>
  <c r="K52" i="11"/>
  <c r="L51" i="11"/>
  <c r="K51" i="11"/>
  <c r="L50" i="11"/>
  <c r="K50" i="11"/>
  <c r="L49" i="11"/>
  <c r="K49" i="11"/>
  <c r="L48" i="11"/>
  <c r="K48" i="11"/>
  <c r="L45" i="11"/>
  <c r="K45" i="11"/>
  <c r="L44" i="11"/>
  <c r="K44" i="11"/>
  <c r="L43" i="11"/>
  <c r="K43" i="11"/>
  <c r="L40" i="11"/>
  <c r="K40" i="11"/>
  <c r="L37" i="11"/>
  <c r="K37" i="11"/>
  <c r="L34" i="11"/>
  <c r="K34" i="11"/>
  <c r="L33" i="11"/>
  <c r="L32" i="11"/>
  <c r="K32" i="11"/>
  <c r="L29" i="11"/>
  <c r="K29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0" i="11"/>
  <c r="K20" i="11"/>
  <c r="L19" i="11"/>
  <c r="K19" i="11"/>
  <c r="L18" i="11"/>
  <c r="K18" i="11"/>
  <c r="L17" i="11"/>
  <c r="K17" i="11"/>
  <c r="L14" i="11"/>
  <c r="K14" i="11"/>
  <c r="L11" i="11"/>
  <c r="K11" i="11"/>
  <c r="L10" i="11"/>
  <c r="K10" i="11"/>
  <c r="L9" i="11"/>
  <c r="K9" i="11"/>
  <c r="L6" i="11"/>
  <c r="K6" i="11"/>
  <c r="L69" i="10"/>
  <c r="K69" i="10"/>
  <c r="L68" i="10"/>
  <c r="K68" i="10"/>
  <c r="L65" i="10"/>
  <c r="K65" i="10"/>
  <c r="L64" i="10"/>
  <c r="K64" i="10"/>
  <c r="L63" i="10"/>
  <c r="K63" i="10"/>
  <c r="L60" i="10"/>
  <c r="K60" i="10"/>
  <c r="L59" i="10"/>
  <c r="K59" i="10"/>
  <c r="L58" i="10"/>
  <c r="K58" i="10"/>
  <c r="L57" i="10"/>
  <c r="K57" i="10"/>
  <c r="L54" i="10"/>
  <c r="K54" i="10"/>
  <c r="L53" i="10"/>
  <c r="K53" i="10"/>
  <c r="L52" i="10"/>
  <c r="K52" i="10"/>
  <c r="L51" i="10"/>
  <c r="K51" i="10"/>
  <c r="L50" i="10"/>
  <c r="K50" i="10"/>
  <c r="L49" i="10"/>
  <c r="K49" i="10"/>
  <c r="L48" i="10"/>
  <c r="K48" i="10"/>
  <c r="L45" i="10"/>
  <c r="K45" i="10"/>
  <c r="L44" i="10"/>
  <c r="K44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5" i="10"/>
  <c r="K35" i="10"/>
  <c r="L34" i="10"/>
  <c r="K34" i="10"/>
  <c r="L33" i="10"/>
  <c r="K33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1" i="10"/>
  <c r="K21" i="10"/>
  <c r="L18" i="10"/>
  <c r="K18" i="10"/>
  <c r="L15" i="10"/>
  <c r="K15" i="10"/>
  <c r="L12" i="10"/>
  <c r="K12" i="10"/>
  <c r="L9" i="10"/>
  <c r="K9" i="10"/>
  <c r="L6" i="10"/>
  <c r="K6" i="10"/>
  <c r="T16" i="9"/>
  <c r="S16" i="9"/>
  <c r="T13" i="9"/>
  <c r="S13" i="9"/>
  <c r="T10" i="9"/>
  <c r="S10" i="9"/>
  <c r="T9" i="9"/>
  <c r="S9" i="9"/>
  <c r="T6" i="9"/>
  <c r="S6" i="9"/>
  <c r="T20" i="8"/>
  <c r="S20" i="8"/>
  <c r="T17" i="8"/>
  <c r="S17" i="8"/>
  <c r="T14" i="8"/>
  <c r="S14" i="8"/>
  <c r="T13" i="8"/>
  <c r="S13" i="8"/>
  <c r="T12" i="8"/>
  <c r="S12" i="8"/>
  <c r="T11" i="8"/>
  <c r="S11" i="8"/>
  <c r="T10" i="8"/>
  <c r="S10" i="8"/>
  <c r="T9" i="8"/>
  <c r="S9" i="8"/>
  <c r="T6" i="8"/>
  <c r="S6" i="8"/>
  <c r="T101" i="7"/>
  <c r="S101" i="7"/>
  <c r="T98" i="7"/>
  <c r="S98" i="7"/>
  <c r="T97" i="7"/>
  <c r="S97" i="7"/>
  <c r="T94" i="7"/>
  <c r="S94" i="7"/>
  <c r="T93" i="7"/>
  <c r="S93" i="7"/>
  <c r="T92" i="7"/>
  <c r="S92" i="7"/>
  <c r="T91" i="7"/>
  <c r="S91" i="7"/>
  <c r="T90" i="7"/>
  <c r="S90" i="7"/>
  <c r="T87" i="7"/>
  <c r="S87" i="7"/>
  <c r="T86" i="7"/>
  <c r="S86" i="7"/>
  <c r="T85" i="7"/>
  <c r="S85" i="7"/>
  <c r="T84" i="7"/>
  <c r="S84" i="7"/>
  <c r="T83" i="7"/>
  <c r="S83" i="7"/>
  <c r="T82" i="7"/>
  <c r="S82" i="7"/>
  <c r="T81" i="7"/>
  <c r="S81" i="7"/>
  <c r="T78" i="7"/>
  <c r="T77" i="7"/>
  <c r="S77" i="7"/>
  <c r="T76" i="7"/>
  <c r="S76" i="7"/>
  <c r="T75" i="7"/>
  <c r="S75" i="7"/>
  <c r="T74" i="7"/>
  <c r="S74" i="7"/>
  <c r="T73" i="7"/>
  <c r="S73" i="7"/>
  <c r="T72" i="7"/>
  <c r="S72" i="7"/>
  <c r="T69" i="7"/>
  <c r="S69" i="7"/>
  <c r="T68" i="7"/>
  <c r="S68" i="7"/>
  <c r="T67" i="7"/>
  <c r="S67" i="7"/>
  <c r="T66" i="7"/>
  <c r="S66" i="7"/>
  <c r="T65" i="7"/>
  <c r="S65" i="7"/>
  <c r="T64" i="7"/>
  <c r="S64" i="7"/>
  <c r="T63" i="7"/>
  <c r="S63" i="7"/>
  <c r="T60" i="7"/>
  <c r="S60" i="7"/>
  <c r="T59" i="7"/>
  <c r="S59" i="7"/>
  <c r="T58" i="7"/>
  <c r="S58" i="7"/>
  <c r="T57" i="7"/>
  <c r="S57" i="7"/>
  <c r="T56" i="7"/>
  <c r="S56" i="7"/>
  <c r="T53" i="7"/>
  <c r="S53" i="7"/>
  <c r="T50" i="7"/>
  <c r="S50" i="7"/>
  <c r="T47" i="7"/>
  <c r="S47" i="7"/>
  <c r="T44" i="7"/>
  <c r="S44" i="7"/>
  <c r="T41" i="7"/>
  <c r="T40" i="7"/>
  <c r="S40" i="7"/>
  <c r="T39" i="7"/>
  <c r="S39" i="7"/>
  <c r="T38" i="7"/>
  <c r="S38" i="7"/>
  <c r="T37" i="7"/>
  <c r="S37" i="7"/>
  <c r="T36" i="7"/>
  <c r="S36" i="7"/>
  <c r="T35" i="7"/>
  <c r="S35" i="7"/>
  <c r="T32" i="7"/>
  <c r="S32" i="7"/>
  <c r="T31" i="7"/>
  <c r="S31" i="7"/>
  <c r="T28" i="7"/>
  <c r="S28" i="7"/>
  <c r="T27" i="7"/>
  <c r="S27" i="7"/>
  <c r="T26" i="7"/>
  <c r="S26" i="7"/>
  <c r="T25" i="7"/>
  <c r="S25" i="7"/>
  <c r="T24" i="7"/>
  <c r="S24" i="7"/>
  <c r="T21" i="7"/>
  <c r="S21" i="7"/>
  <c r="T20" i="7"/>
  <c r="T19" i="7"/>
  <c r="S19" i="7"/>
  <c r="T18" i="7"/>
  <c r="S18" i="7"/>
  <c r="T17" i="7"/>
  <c r="S17" i="7"/>
  <c r="T16" i="7"/>
  <c r="S16" i="7"/>
  <c r="T13" i="7"/>
  <c r="S13" i="7"/>
  <c r="T12" i="7"/>
  <c r="S12" i="7"/>
  <c r="T11" i="7"/>
  <c r="S11" i="7"/>
  <c r="T8" i="7"/>
  <c r="S8" i="7"/>
  <c r="T7" i="7"/>
  <c r="S7" i="7"/>
  <c r="T6" i="7"/>
  <c r="S6" i="7"/>
  <c r="T48" i="6"/>
  <c r="S48" i="6"/>
  <c r="T45" i="6"/>
  <c r="S45" i="6"/>
  <c r="T44" i="6"/>
  <c r="S44" i="6"/>
  <c r="T43" i="6"/>
  <c r="S43" i="6"/>
  <c r="T42" i="6"/>
  <c r="S42" i="6"/>
  <c r="T41" i="6"/>
  <c r="S41" i="6"/>
  <c r="T40" i="6"/>
  <c r="S40" i="6"/>
  <c r="T37" i="6"/>
  <c r="T36" i="6"/>
  <c r="S36" i="6"/>
  <c r="T33" i="6"/>
  <c r="S33" i="6"/>
  <c r="T32" i="6"/>
  <c r="S32" i="6"/>
  <c r="T31" i="6"/>
  <c r="S31" i="6"/>
  <c r="T30" i="6"/>
  <c r="T27" i="6"/>
  <c r="S27" i="6"/>
  <c r="T26" i="6"/>
  <c r="T25" i="6"/>
  <c r="S25" i="6"/>
  <c r="T24" i="6"/>
  <c r="S24" i="6"/>
  <c r="T21" i="6"/>
  <c r="S21" i="6"/>
  <c r="T20" i="6"/>
  <c r="S20" i="6"/>
  <c r="T19" i="6"/>
  <c r="S19" i="6"/>
  <c r="T16" i="6"/>
  <c r="S16" i="6"/>
  <c r="T13" i="6"/>
  <c r="S13" i="6"/>
  <c r="T12" i="6"/>
  <c r="S12" i="6"/>
  <c r="T9" i="6"/>
  <c r="S9" i="6"/>
  <c r="T6" i="6"/>
  <c r="S6" i="6"/>
  <c r="T6" i="5"/>
  <c r="S6" i="5"/>
</calcChain>
</file>

<file path=xl/sharedStrings.xml><?xml version="1.0" encoding="utf-8"?>
<sst xmlns="http://schemas.openxmlformats.org/spreadsheetml/2006/main" count="6499" uniqueCount="1519">
  <si>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</si>
  <si>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</si>
  <si>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</si>
  <si>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</si>
  <si>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</si>
  <si>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</si>
  <si>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</si>
  <si>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</si>
  <si>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</si>
  <si>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</si>
  <si>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110</t>
  </si>
  <si>
    <t>Продан Анатолий</t>
  </si>
  <si>
    <t>108,40</t>
  </si>
  <si>
    <t>240,0</t>
  </si>
  <si>
    <t>255,0</t>
  </si>
  <si>
    <t>270,0</t>
  </si>
  <si>
    <t>230,0</t>
  </si>
  <si>
    <t>235,0</t>
  </si>
  <si>
    <t>245,0</t>
  </si>
  <si>
    <t>262,5</t>
  </si>
  <si>
    <t xml:space="preserve">Абсолютный зачёт </t>
  </si>
  <si>
    <t xml:space="preserve">Мужчины </t>
  </si>
  <si>
    <t xml:space="preserve">Мастера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</si>
  <si>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</si>
  <si>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</si>
  <si>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</si>
  <si>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</si>
  <si>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</si>
  <si>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110</t>
  </si>
  <si>
    <t>1</t>
  </si>
  <si>
    <t/>
  </si>
  <si>
    <t>ВЕСОВАЯ КАТЕГОРИЯ   56</t>
  </si>
  <si>
    <t>Васильева Надежда</t>
  </si>
  <si>
    <t>Открытая (24.12.1972)/48</t>
  </si>
  <si>
    <t>55,90</t>
  </si>
  <si>
    <t>100,0</t>
  </si>
  <si>
    <t>105,0</t>
  </si>
  <si>
    <t>110,0</t>
  </si>
  <si>
    <t>62,5</t>
  </si>
  <si>
    <t>65,0</t>
  </si>
  <si>
    <t>67,5</t>
  </si>
  <si>
    <t>130,0</t>
  </si>
  <si>
    <t>140,0</t>
  </si>
  <si>
    <t>150,0</t>
  </si>
  <si>
    <t xml:space="preserve">Казаков В. </t>
  </si>
  <si>
    <t>ВЕСОВАЯ КАТЕГОРИЯ   60</t>
  </si>
  <si>
    <t>Самарина Ульяна</t>
  </si>
  <si>
    <t>Девушки 15-19 (08.10.2007)/14</t>
  </si>
  <si>
    <t>58,80</t>
  </si>
  <si>
    <t>95,0</t>
  </si>
  <si>
    <t>75,0</t>
  </si>
  <si>
    <t>80,0</t>
  </si>
  <si>
    <t>82,5</t>
  </si>
  <si>
    <t xml:space="preserve">Самарина Н. </t>
  </si>
  <si>
    <t>ВЕСОВАЯ КАТЕГОРИЯ   90+</t>
  </si>
  <si>
    <t>Огурчикова Алина</t>
  </si>
  <si>
    <t>Девушки 15-19 (28.02.2002)/19</t>
  </si>
  <si>
    <t>92,30</t>
  </si>
  <si>
    <t>120,0</t>
  </si>
  <si>
    <t>85,0</t>
  </si>
  <si>
    <t xml:space="preserve">Багитов Р. </t>
  </si>
  <si>
    <t>Осипова Ольга</t>
  </si>
  <si>
    <t>98,70</t>
  </si>
  <si>
    <t>160,0</t>
  </si>
  <si>
    <t>180,0</t>
  </si>
  <si>
    <t>185,0</t>
  </si>
  <si>
    <t>200,0</t>
  </si>
  <si>
    <t>ВЕСОВАЯ КАТЕГОРИЯ   75</t>
  </si>
  <si>
    <t>Аристов Владислав</t>
  </si>
  <si>
    <t>Открытая (17.10.1995)/26</t>
  </si>
  <si>
    <t>74,20</t>
  </si>
  <si>
    <t xml:space="preserve">KAZ/Жезказган </t>
  </si>
  <si>
    <t>170,0</t>
  </si>
  <si>
    <t>177,5</t>
  </si>
  <si>
    <t>182,5</t>
  </si>
  <si>
    <t>107,5</t>
  </si>
  <si>
    <t>207,5</t>
  </si>
  <si>
    <t>215,0</t>
  </si>
  <si>
    <t>220,0</t>
  </si>
  <si>
    <t>ВЕСОВАЯ КАТЕГОРИЯ   82.5</t>
  </si>
  <si>
    <t>Илюшин Евгений</t>
  </si>
  <si>
    <t>Открытая (21.09.1987)/34</t>
  </si>
  <si>
    <t>82,20</t>
  </si>
  <si>
    <t>225,0</t>
  </si>
  <si>
    <t>165,0</t>
  </si>
  <si>
    <t>175,0</t>
  </si>
  <si>
    <t>260,0</t>
  </si>
  <si>
    <t>Абросимов Тимур</t>
  </si>
  <si>
    <t>Открытая (13.10.1993)/28</t>
  </si>
  <si>
    <t>82,10</t>
  </si>
  <si>
    <t>190,0</t>
  </si>
  <si>
    <t>205,0</t>
  </si>
  <si>
    <t>Опарин Илья</t>
  </si>
  <si>
    <t>Открытая (01.01.1992)/29</t>
  </si>
  <si>
    <t>78,40</t>
  </si>
  <si>
    <t>197,5</t>
  </si>
  <si>
    <t>202,5</t>
  </si>
  <si>
    <t>137,5</t>
  </si>
  <si>
    <t>ВЕСОВАЯ КАТЕГОРИЯ   90</t>
  </si>
  <si>
    <t>Собцов Дмитрий</t>
  </si>
  <si>
    <t>Открытая (04.06.1991)/30</t>
  </si>
  <si>
    <t>89,70</t>
  </si>
  <si>
    <t>222,5</t>
  </si>
  <si>
    <t>227,5</t>
  </si>
  <si>
    <t xml:space="preserve">Евгений Б. </t>
  </si>
  <si>
    <t>Нарышкин Виктор</t>
  </si>
  <si>
    <t>Открытая (08.04.1995)/26</t>
  </si>
  <si>
    <t>89,40</t>
  </si>
  <si>
    <t>210,0</t>
  </si>
  <si>
    <t>135,0</t>
  </si>
  <si>
    <t>142,5</t>
  </si>
  <si>
    <t>147,5</t>
  </si>
  <si>
    <t>250,0</t>
  </si>
  <si>
    <t>Киселев Дмитрий</t>
  </si>
  <si>
    <t>Открытая (25.12.1985)/35</t>
  </si>
  <si>
    <t xml:space="preserve">Богатов И. </t>
  </si>
  <si>
    <t>Кашенцев Антон</t>
  </si>
  <si>
    <t>89,60</t>
  </si>
  <si>
    <t>145,0</t>
  </si>
  <si>
    <t>155,0</t>
  </si>
  <si>
    <t>265,0</t>
  </si>
  <si>
    <t xml:space="preserve">Немов А. </t>
  </si>
  <si>
    <t>ВЕСОВАЯ КАТЕГОРИЯ   100</t>
  </si>
  <si>
    <t>Чиков Павел</t>
  </si>
  <si>
    <t>100,00</t>
  </si>
  <si>
    <t>280,0</t>
  </si>
  <si>
    <t>285,0</t>
  </si>
  <si>
    <t>325,0</t>
  </si>
  <si>
    <t>Смирнов Александр</t>
  </si>
  <si>
    <t>Открытая (04.02.1996)/25</t>
  </si>
  <si>
    <t>96,60</t>
  </si>
  <si>
    <t>Яруков Станислав</t>
  </si>
  <si>
    <t>Открытая (12.07.1990)/31</t>
  </si>
  <si>
    <t>98,90</t>
  </si>
  <si>
    <t>152,5</t>
  </si>
  <si>
    <t>302,5</t>
  </si>
  <si>
    <t>315,0</t>
  </si>
  <si>
    <t>330,0</t>
  </si>
  <si>
    <t>Багитов Рустам</t>
  </si>
  <si>
    <t>Открытая (18.01.1985)/36</t>
  </si>
  <si>
    <t>95,50</t>
  </si>
  <si>
    <t>Широков Никита</t>
  </si>
  <si>
    <t>Открытая (24.12.1989)/31</t>
  </si>
  <si>
    <t>108,70</t>
  </si>
  <si>
    <t>300,0</t>
  </si>
  <si>
    <t>Горчаков Филипп</t>
  </si>
  <si>
    <t>Открытая (10.01.1985)/36</t>
  </si>
  <si>
    <t>102,50</t>
  </si>
  <si>
    <t>ВЕСОВАЯ КАТЕГОРИЯ   125</t>
  </si>
  <si>
    <t>Муратов Николай</t>
  </si>
  <si>
    <t>115,10</t>
  </si>
  <si>
    <t xml:space="preserve">Макаркин И. </t>
  </si>
  <si>
    <t>Шарапов Игорь</t>
  </si>
  <si>
    <t>Открытая (30.10.1971)/50</t>
  </si>
  <si>
    <t>124,30</t>
  </si>
  <si>
    <t>Биро Антон</t>
  </si>
  <si>
    <t>Открытая (21.04.1997)/24</t>
  </si>
  <si>
    <t>121,30</t>
  </si>
  <si>
    <t>157,5</t>
  </si>
  <si>
    <t>290,0</t>
  </si>
  <si>
    <t>Зупка Мартин</t>
  </si>
  <si>
    <t>Открытая (17.06.1976)/45</t>
  </si>
  <si>
    <t>114,30</t>
  </si>
  <si>
    <t>192,5</t>
  </si>
  <si>
    <t>ВЕСОВАЯ КАТЕГОРИЯ   140</t>
  </si>
  <si>
    <t>Пысь Дмитрий</t>
  </si>
  <si>
    <t>Открытая (04.05.1986)/35</t>
  </si>
  <si>
    <t>131,20</t>
  </si>
  <si>
    <t>340,0</t>
  </si>
  <si>
    <t>360,0</t>
  </si>
  <si>
    <t>380,0</t>
  </si>
  <si>
    <t>70,0</t>
  </si>
  <si>
    <t xml:space="preserve">Женщины </t>
  </si>
  <si>
    <t>60</t>
  </si>
  <si>
    <t>295,0</t>
  </si>
  <si>
    <t xml:space="preserve">Открытая </t>
  </si>
  <si>
    <t>56</t>
  </si>
  <si>
    <t>320,0</t>
  </si>
  <si>
    <t>125</t>
  </si>
  <si>
    <t>100</t>
  </si>
  <si>
    <t>710,0</t>
  </si>
  <si>
    <t>438,3540</t>
  </si>
  <si>
    <t>82.5</t>
  </si>
  <si>
    <t>650,0</t>
  </si>
  <si>
    <t>436,4100</t>
  </si>
  <si>
    <t>687,5</t>
  </si>
  <si>
    <t>420,2687</t>
  </si>
  <si>
    <t>90</t>
  </si>
  <si>
    <t>637,5</t>
  </si>
  <si>
    <t>2</t>
  </si>
  <si>
    <t>3</t>
  </si>
  <si>
    <t>-</t>
  </si>
  <si>
    <t>ВЕСОВАЯ КАТЕГОРИЯ   44</t>
  </si>
  <si>
    <t>Желтикова Елизавета</t>
  </si>
  <si>
    <t>Девушки 15-19 (30.11.2003)/17</t>
  </si>
  <si>
    <t>43,10</t>
  </si>
  <si>
    <t>42,5</t>
  </si>
  <si>
    <t>45,0</t>
  </si>
  <si>
    <t>102,5</t>
  </si>
  <si>
    <t>Мошенко Анна</t>
  </si>
  <si>
    <t>Открытая (22.09.1985)/36</t>
  </si>
  <si>
    <t>41,10</t>
  </si>
  <si>
    <t xml:space="preserve">KAZ/Караганда </t>
  </si>
  <si>
    <t>63,0</t>
  </si>
  <si>
    <t>90,0</t>
  </si>
  <si>
    <t>Открытая (30.11.2003)/17</t>
  </si>
  <si>
    <t>ВЕСОВАЯ КАТЕГОРИЯ   48</t>
  </si>
  <si>
    <t>Кочеткова Елена</t>
  </si>
  <si>
    <t>Открытая (20.10.1991)/30</t>
  </si>
  <si>
    <t>47,00</t>
  </si>
  <si>
    <t>97,5</t>
  </si>
  <si>
    <t>55,0</t>
  </si>
  <si>
    <t>60,0</t>
  </si>
  <si>
    <t>115,0</t>
  </si>
  <si>
    <t>125,0</t>
  </si>
  <si>
    <t>Орлова Оксана</t>
  </si>
  <si>
    <t>Открытая (28.02.1993)/28</t>
  </si>
  <si>
    <t>47,50</t>
  </si>
  <si>
    <t>50,0</t>
  </si>
  <si>
    <t>52,5</t>
  </si>
  <si>
    <t>87,5</t>
  </si>
  <si>
    <t>Савченко Алла</t>
  </si>
  <si>
    <t>47,90</t>
  </si>
  <si>
    <t>47,5</t>
  </si>
  <si>
    <t>112,5</t>
  </si>
  <si>
    <t xml:space="preserve">Мищенко С. </t>
  </si>
  <si>
    <t>ВЕСОВАЯ КАТЕГОРИЯ   52</t>
  </si>
  <si>
    <t>Дегтярева Юлия</t>
  </si>
  <si>
    <t>Открытая (08.09.1990)/31</t>
  </si>
  <si>
    <t>50,70</t>
  </si>
  <si>
    <t>122,5</t>
  </si>
  <si>
    <t>62,6</t>
  </si>
  <si>
    <t xml:space="preserve">Сакович О. </t>
  </si>
  <si>
    <t>Соловьева Мария</t>
  </si>
  <si>
    <t>Открытая (22.11.1988)/32</t>
  </si>
  <si>
    <t>51,90</t>
  </si>
  <si>
    <t>57,5</t>
  </si>
  <si>
    <t>Паньшина Татьяна</t>
  </si>
  <si>
    <t>Открытая (03.06.1980)/41</t>
  </si>
  <si>
    <t>51,20</t>
  </si>
  <si>
    <t>117,5</t>
  </si>
  <si>
    <t>Смольянинова Надежда</t>
  </si>
  <si>
    <t>Открытая (21.10.1990)/31</t>
  </si>
  <si>
    <t>50,50</t>
  </si>
  <si>
    <t>40,0</t>
  </si>
  <si>
    <t>77,5</t>
  </si>
  <si>
    <t>Медникова Мария</t>
  </si>
  <si>
    <t>Открытая (13.04.1992)/29</t>
  </si>
  <si>
    <t>50,40</t>
  </si>
  <si>
    <t xml:space="preserve">Борисов А. </t>
  </si>
  <si>
    <t>Михайлова Полина</t>
  </si>
  <si>
    <t>55,80</t>
  </si>
  <si>
    <t>92,5</t>
  </si>
  <si>
    <t xml:space="preserve">Квас П. </t>
  </si>
  <si>
    <t>Глинская Мария</t>
  </si>
  <si>
    <t>Открытая (04.04.1986)/35</t>
  </si>
  <si>
    <t xml:space="preserve">Фёдоров С. </t>
  </si>
  <si>
    <t>Савельева Надежда</t>
  </si>
  <si>
    <t>Открытая (11.01.1987)/34</t>
  </si>
  <si>
    <t>55,60</t>
  </si>
  <si>
    <t>Ярмоленко Ирина</t>
  </si>
  <si>
    <t>Открытая (10.06.1985)/36</t>
  </si>
  <si>
    <t>55,00</t>
  </si>
  <si>
    <t>35,0</t>
  </si>
  <si>
    <t>37,5</t>
  </si>
  <si>
    <t>Колесникова Ольга</t>
  </si>
  <si>
    <t>Открытая (13.09.1994)/27</t>
  </si>
  <si>
    <t>55,10</t>
  </si>
  <si>
    <t>57,0</t>
  </si>
  <si>
    <t>Майорова Марина</t>
  </si>
  <si>
    <t>Открытая (14.05.1990)/31</t>
  </si>
  <si>
    <t>59,50</t>
  </si>
  <si>
    <t>Сидорова Ольга</t>
  </si>
  <si>
    <t>59,40</t>
  </si>
  <si>
    <t>127,5</t>
  </si>
  <si>
    <t>ВЕСОВАЯ КАТЕГОРИЯ   67.5</t>
  </si>
  <si>
    <t>Назарук Екатерина</t>
  </si>
  <si>
    <t>Девушки 15-19 (12.07.2002)/19</t>
  </si>
  <si>
    <t>66,70</t>
  </si>
  <si>
    <t xml:space="preserve">Гребнев Е. </t>
  </si>
  <si>
    <t>Богатенкова Анастасия</t>
  </si>
  <si>
    <t>62,00</t>
  </si>
  <si>
    <t>132,5</t>
  </si>
  <si>
    <t>72,5</t>
  </si>
  <si>
    <t>Мурашева Лидия</t>
  </si>
  <si>
    <t>Открытая (31.07.1983)/38</t>
  </si>
  <si>
    <t>66,20</t>
  </si>
  <si>
    <t>Дурнева Дарья</t>
  </si>
  <si>
    <t>Открытая (19.11.1993)/28</t>
  </si>
  <si>
    <t>67,50</t>
  </si>
  <si>
    <t>Каркищенко Ольга</t>
  </si>
  <si>
    <t>Открытая (06.04.1983)/38</t>
  </si>
  <si>
    <t>67,00</t>
  </si>
  <si>
    <t xml:space="preserve">Дурнов Р. </t>
  </si>
  <si>
    <t>Сосновская Анастасия</t>
  </si>
  <si>
    <t>Открытая (09.08.1994)/27</t>
  </si>
  <si>
    <t>64,40</t>
  </si>
  <si>
    <t>Протас Мария</t>
  </si>
  <si>
    <t>Открытая (07.04.1997)/24</t>
  </si>
  <si>
    <t>66,80</t>
  </si>
  <si>
    <t xml:space="preserve">Лапшин А. </t>
  </si>
  <si>
    <t>Кутепова Марина</t>
  </si>
  <si>
    <t>Открытая (12.01.1979)/42</t>
  </si>
  <si>
    <t>68,20</t>
  </si>
  <si>
    <t xml:space="preserve">Стасюк И. </t>
  </si>
  <si>
    <t>Путилова Елена</t>
  </si>
  <si>
    <t>72,60</t>
  </si>
  <si>
    <t>Фоминова Наталья</t>
  </si>
  <si>
    <t>91,10</t>
  </si>
  <si>
    <t xml:space="preserve">Сидорова О. </t>
  </si>
  <si>
    <t>Рек Александр</t>
  </si>
  <si>
    <t>Открытая (13.07.1987)/34</t>
  </si>
  <si>
    <t>66,50</t>
  </si>
  <si>
    <t>Жеронкин Егор</t>
  </si>
  <si>
    <t>74,30</t>
  </si>
  <si>
    <t xml:space="preserve"> </t>
  </si>
  <si>
    <t>Рябинников Олег</t>
  </si>
  <si>
    <t>Открытая (30.05.1978)/43</t>
  </si>
  <si>
    <t>75,00</t>
  </si>
  <si>
    <t>232,5</t>
  </si>
  <si>
    <t xml:space="preserve">Ианова Е. </t>
  </si>
  <si>
    <t>73,40</t>
  </si>
  <si>
    <t>Гончаров Лев</t>
  </si>
  <si>
    <t>71,50</t>
  </si>
  <si>
    <t xml:space="preserve">Юдин Г. </t>
  </si>
  <si>
    <t>Zhakin Vladimir</t>
  </si>
  <si>
    <t>71,60</t>
  </si>
  <si>
    <t>Середут Дмитрий</t>
  </si>
  <si>
    <t>Юноши 15-19 (28.01.2005)/16</t>
  </si>
  <si>
    <t>80,30</t>
  </si>
  <si>
    <t xml:space="preserve">BLR/Гомель </t>
  </si>
  <si>
    <t>Konstantatos Konstantinos</t>
  </si>
  <si>
    <t>78,90</t>
  </si>
  <si>
    <t xml:space="preserve">GRC/Peristeri </t>
  </si>
  <si>
    <t>Дременков Константин</t>
  </si>
  <si>
    <t>Открытая (21.07.1966)/55</t>
  </si>
  <si>
    <t xml:space="preserve">BLR/Брест </t>
  </si>
  <si>
    <t>275,0</t>
  </si>
  <si>
    <t>Кочетков Александр</t>
  </si>
  <si>
    <t>Открытая (19.09.1988)/33</t>
  </si>
  <si>
    <t>81,80</t>
  </si>
  <si>
    <t>162,5</t>
  </si>
  <si>
    <t>Бородаенко Александр</t>
  </si>
  <si>
    <t>Открытая (24.06.1990)/31</t>
  </si>
  <si>
    <t>81,00</t>
  </si>
  <si>
    <t>Фоменко Кирилл</t>
  </si>
  <si>
    <t>Открытая (25.11.1989)/31</t>
  </si>
  <si>
    <t>82,00</t>
  </si>
  <si>
    <t>Румасов Андрей</t>
  </si>
  <si>
    <t>Открытая (10.03.1991)/30</t>
  </si>
  <si>
    <t>86,20</t>
  </si>
  <si>
    <t>Супрунов Дмитрий</t>
  </si>
  <si>
    <t>Открытая (08.06.1989)/32</t>
  </si>
  <si>
    <t>89,30</t>
  </si>
  <si>
    <t>Устарханов Ислам</t>
  </si>
  <si>
    <t>Открытая (13.05.1990)/31</t>
  </si>
  <si>
    <t>89,90</t>
  </si>
  <si>
    <t>167,5</t>
  </si>
  <si>
    <t>Волков Дмитрий</t>
  </si>
  <si>
    <t>Открытая (24.09.1996)/25</t>
  </si>
  <si>
    <t>87,80</t>
  </si>
  <si>
    <t>Лесман Артём</t>
  </si>
  <si>
    <t>Открытая (05.08.1983)/38</t>
  </si>
  <si>
    <t>88,00</t>
  </si>
  <si>
    <t>172,5</t>
  </si>
  <si>
    <t xml:space="preserve">Украинцев Р. </t>
  </si>
  <si>
    <t>Решетов Владимир</t>
  </si>
  <si>
    <t>88,20</t>
  </si>
  <si>
    <t xml:space="preserve">Решетов А. </t>
  </si>
  <si>
    <t>Мокин Роман</t>
  </si>
  <si>
    <t>88,50</t>
  </si>
  <si>
    <t>Кратт Никита</t>
  </si>
  <si>
    <t>91,40</t>
  </si>
  <si>
    <t>Глебов Александр</t>
  </si>
  <si>
    <t>Открытая (20.01.1989)/32</t>
  </si>
  <si>
    <t>90,80</t>
  </si>
  <si>
    <t>Рублев Михаил</t>
  </si>
  <si>
    <t>Открытая (07.06.1979)/42</t>
  </si>
  <si>
    <t>Марченко Артём</t>
  </si>
  <si>
    <t>Открытая (21.09.1988)/33</t>
  </si>
  <si>
    <t>95,00</t>
  </si>
  <si>
    <t>187,5</t>
  </si>
  <si>
    <t xml:space="preserve">Кляузов С. </t>
  </si>
  <si>
    <t>Третьяков Сергей</t>
  </si>
  <si>
    <t>99,50</t>
  </si>
  <si>
    <t>195,0</t>
  </si>
  <si>
    <t>217,5</t>
  </si>
  <si>
    <t xml:space="preserve">Сергей К. </t>
  </si>
  <si>
    <t>Павлов Андрей</t>
  </si>
  <si>
    <t>95,80</t>
  </si>
  <si>
    <t>Макаров Владимир</t>
  </si>
  <si>
    <t>95,90</t>
  </si>
  <si>
    <t>Трунов Олег</t>
  </si>
  <si>
    <t>Открытая (08.08.1988)/33</t>
  </si>
  <si>
    <t>103,50</t>
  </si>
  <si>
    <t xml:space="preserve">Андреев Т. </t>
  </si>
  <si>
    <t>Прусов Валентин</t>
  </si>
  <si>
    <t>Открытая (08.05.1990)/31</t>
  </si>
  <si>
    <t>109,60</t>
  </si>
  <si>
    <t>Маклаков Денис</t>
  </si>
  <si>
    <t>Открытая (02.05.1997)/24</t>
  </si>
  <si>
    <t>104,30</t>
  </si>
  <si>
    <t>Добренький Дмитрий</t>
  </si>
  <si>
    <t>Открытая (02.08.1992)/29</t>
  </si>
  <si>
    <t>106,10</t>
  </si>
  <si>
    <t>Камоцкий Руслан</t>
  </si>
  <si>
    <t>Мищенко Сергей</t>
  </si>
  <si>
    <t>Открытая (21.07.1988)/33</t>
  </si>
  <si>
    <t>118,60</t>
  </si>
  <si>
    <t>292,5</t>
  </si>
  <si>
    <t>Гребнев Евгений</t>
  </si>
  <si>
    <t>111,90</t>
  </si>
  <si>
    <t>Паршиков Ион</t>
  </si>
  <si>
    <t>Открытая (14.10.1995)/26</t>
  </si>
  <si>
    <t>125,10</t>
  </si>
  <si>
    <t xml:space="preserve">Балабатько И. </t>
  </si>
  <si>
    <t>44</t>
  </si>
  <si>
    <t>67.5</t>
  </si>
  <si>
    <t>52</t>
  </si>
  <si>
    <t>345,0</t>
  </si>
  <si>
    <t>438,5295</t>
  </si>
  <si>
    <t>48</t>
  </si>
  <si>
    <t>277,5</t>
  </si>
  <si>
    <t>373,2098</t>
  </si>
  <si>
    <t>365,1862</t>
  </si>
  <si>
    <t>312,5</t>
  </si>
  <si>
    <t>75</t>
  </si>
  <si>
    <t>562,5</t>
  </si>
  <si>
    <t>438,9750</t>
  </si>
  <si>
    <t>757,5</t>
  </si>
  <si>
    <t>436,6987</t>
  </si>
  <si>
    <t>428,0175</t>
  </si>
  <si>
    <t>535,0219</t>
  </si>
  <si>
    <t>362,5</t>
  </si>
  <si>
    <t>444,3774</t>
  </si>
  <si>
    <t>377,5</t>
  </si>
  <si>
    <t>444,2647</t>
  </si>
  <si>
    <t>4</t>
  </si>
  <si>
    <t>5</t>
  </si>
  <si>
    <t>Каширина Маргарита</t>
  </si>
  <si>
    <t>Открытая (07.07.1992)/29</t>
  </si>
  <si>
    <t xml:space="preserve">Бурлаков М. </t>
  </si>
  <si>
    <t>Фомин Владимир</t>
  </si>
  <si>
    <t>Открытая (01.06.1989)/32</t>
  </si>
  <si>
    <t>84,50</t>
  </si>
  <si>
    <t xml:space="preserve">Максимов С. </t>
  </si>
  <si>
    <t>Венгер Александр</t>
  </si>
  <si>
    <t>Открытая (22.02.1988)/33</t>
  </si>
  <si>
    <t>89,10</t>
  </si>
  <si>
    <t>282,5</t>
  </si>
  <si>
    <t>272,5</t>
  </si>
  <si>
    <t>Ильенко Александр</t>
  </si>
  <si>
    <t>Открытая (23.03.1996)/25</t>
  </si>
  <si>
    <t xml:space="preserve">Луговой А. </t>
  </si>
  <si>
    <t>Карпычев Сергей</t>
  </si>
  <si>
    <t>Открытая (30.05.1992)/29</t>
  </si>
  <si>
    <t>Киселев Иван</t>
  </si>
  <si>
    <t>88,60</t>
  </si>
  <si>
    <t xml:space="preserve">Павлов А. </t>
  </si>
  <si>
    <t>Марков Анатолий</t>
  </si>
  <si>
    <t>Кляузов Сергей</t>
  </si>
  <si>
    <t>Открытая (28.01.1990)/31</t>
  </si>
  <si>
    <t>Антипин Андрей</t>
  </si>
  <si>
    <t>Открытая (20.12.1990)/30</t>
  </si>
  <si>
    <t>107,80</t>
  </si>
  <si>
    <t>310,0</t>
  </si>
  <si>
    <t>322,5</t>
  </si>
  <si>
    <t xml:space="preserve">Шарапов И. </t>
  </si>
  <si>
    <t>Семыкина Дарья</t>
  </si>
  <si>
    <t>Ахматов Илья</t>
  </si>
  <si>
    <t>Юноши 15-19 (27.04.2004)/17</t>
  </si>
  <si>
    <t>80,10</t>
  </si>
  <si>
    <t>Ромашев Павел</t>
  </si>
  <si>
    <t>Открытая (24.04.1989)/32</t>
  </si>
  <si>
    <t>237,5</t>
  </si>
  <si>
    <t>Семенов Виктор</t>
  </si>
  <si>
    <t>95,30</t>
  </si>
  <si>
    <t xml:space="preserve">Циванюк А </t>
  </si>
  <si>
    <t>123,10</t>
  </si>
  <si>
    <t>Балясина Евгения</t>
  </si>
  <si>
    <t>Открытая (21.05.1989)/32</t>
  </si>
  <si>
    <t xml:space="preserve">Беляев Р. </t>
  </si>
  <si>
    <t>Бака Елена</t>
  </si>
  <si>
    <t>Открытая (08.04.1994)/27</t>
  </si>
  <si>
    <t>51,00</t>
  </si>
  <si>
    <t xml:space="preserve">самост. </t>
  </si>
  <si>
    <t>Сингильдина Анна</t>
  </si>
  <si>
    <t>Открытая (06.07.1985)/36</t>
  </si>
  <si>
    <t>59,00</t>
  </si>
  <si>
    <t xml:space="preserve">Чадаев А. </t>
  </si>
  <si>
    <t>Бородина Божена</t>
  </si>
  <si>
    <t>93,0</t>
  </si>
  <si>
    <t xml:space="preserve">Григорьев Д. </t>
  </si>
  <si>
    <t>Бегинин Андрей</t>
  </si>
  <si>
    <t>Открытая (10.11.1995)/26</t>
  </si>
  <si>
    <t>65,00</t>
  </si>
  <si>
    <t xml:space="preserve">Пенько К. </t>
  </si>
  <si>
    <t>Алимов Михаил</t>
  </si>
  <si>
    <t>Открытая (05.03.1987)/34</t>
  </si>
  <si>
    <t>78,30</t>
  </si>
  <si>
    <t>Антонов Сергей</t>
  </si>
  <si>
    <t>Открытая (27.07.1989)/32</t>
  </si>
  <si>
    <t>80,70</t>
  </si>
  <si>
    <t>Иванников Сергей</t>
  </si>
  <si>
    <t>Открытая (09.11.1981)/40</t>
  </si>
  <si>
    <t>81,90</t>
  </si>
  <si>
    <t xml:space="preserve">Суриков Д. </t>
  </si>
  <si>
    <t>Плешков Владимир</t>
  </si>
  <si>
    <t>82,50</t>
  </si>
  <si>
    <t>128,0</t>
  </si>
  <si>
    <t>Сидоров Сергей</t>
  </si>
  <si>
    <t>Открытая (17.05.1994)/27</t>
  </si>
  <si>
    <t>88,30</t>
  </si>
  <si>
    <t>Любимский Семен</t>
  </si>
  <si>
    <t>Открытая (31.03.1986)/35</t>
  </si>
  <si>
    <t xml:space="preserve">Смирнов Д. </t>
  </si>
  <si>
    <t>Markovic Zivorad</t>
  </si>
  <si>
    <t xml:space="preserve">SRB/Leskovac </t>
  </si>
  <si>
    <t>Николаев Максим</t>
  </si>
  <si>
    <t>Открытая (09.08.1983)/38</t>
  </si>
  <si>
    <t>97,70</t>
  </si>
  <si>
    <t xml:space="preserve">Максим А. </t>
  </si>
  <si>
    <t>Фёдоров Сергей</t>
  </si>
  <si>
    <t>Открытая (17.03.1984)/37</t>
  </si>
  <si>
    <t>96,70</t>
  </si>
  <si>
    <t>Родионов Евгений</t>
  </si>
  <si>
    <t>Открытая (02.10.1985)/36</t>
  </si>
  <si>
    <t>Ширунов Сергей</t>
  </si>
  <si>
    <t>Открытая (04.09.1989)/32</t>
  </si>
  <si>
    <t>90,20</t>
  </si>
  <si>
    <t>Лапшин Александр</t>
  </si>
  <si>
    <t>Открытая (14.07.1976)/45</t>
  </si>
  <si>
    <t>99,30</t>
  </si>
  <si>
    <t>Следь Павел</t>
  </si>
  <si>
    <t>94,20</t>
  </si>
  <si>
    <t>Омаров Магомед</t>
  </si>
  <si>
    <t>94,10</t>
  </si>
  <si>
    <t>Лузин Сергей</t>
  </si>
  <si>
    <t>94,80</t>
  </si>
  <si>
    <t>Апальков Андрей</t>
  </si>
  <si>
    <t>Открытая (21.06.1979)/42</t>
  </si>
  <si>
    <t>109,70</t>
  </si>
  <si>
    <t>Солнцев Иван</t>
  </si>
  <si>
    <t>Открытая (25.03.1974)/47</t>
  </si>
  <si>
    <t>100,20</t>
  </si>
  <si>
    <t>Исаев Евгений</t>
  </si>
  <si>
    <t>Рыбальченко Игорь</t>
  </si>
  <si>
    <t>104,90</t>
  </si>
  <si>
    <t>Зяблов Николай</t>
  </si>
  <si>
    <t>103,70</t>
  </si>
  <si>
    <t xml:space="preserve">Разумов А. </t>
  </si>
  <si>
    <t>Васильев Виктор</t>
  </si>
  <si>
    <t>109,20</t>
  </si>
  <si>
    <t>Черепнин Валентин</t>
  </si>
  <si>
    <t>Открытая (08.12.1976)/44</t>
  </si>
  <si>
    <t>118,80</t>
  </si>
  <si>
    <t xml:space="preserve">Суслов Н. </t>
  </si>
  <si>
    <t>Седых Александр</t>
  </si>
  <si>
    <t>Открытая (24.05.1990)/31</t>
  </si>
  <si>
    <t>117,70</t>
  </si>
  <si>
    <t>Макаркин Илья</t>
  </si>
  <si>
    <t>Открытая (01.11.1993)/28</t>
  </si>
  <si>
    <t>123,40</t>
  </si>
  <si>
    <t>Герасимов Сергей</t>
  </si>
  <si>
    <t>Открытая (08.11.1975)/46</t>
  </si>
  <si>
    <t>130,70</t>
  </si>
  <si>
    <t>242,5</t>
  </si>
  <si>
    <t xml:space="preserve">Соловьев В. </t>
  </si>
  <si>
    <t>Миронов Сергей</t>
  </si>
  <si>
    <t>130,90</t>
  </si>
  <si>
    <t xml:space="preserve">Закружной В. </t>
  </si>
  <si>
    <t>ВЕСОВАЯ КАТЕГОРИЯ   140+</t>
  </si>
  <si>
    <t>Сурков Алексей</t>
  </si>
  <si>
    <t>Открытая (15.08.1978)/43</t>
  </si>
  <si>
    <t>149,20</t>
  </si>
  <si>
    <t xml:space="preserve">Результат </t>
  </si>
  <si>
    <t>116,0688</t>
  </si>
  <si>
    <t>95,5630</t>
  </si>
  <si>
    <t>138,4150</t>
  </si>
  <si>
    <t>135,4305</t>
  </si>
  <si>
    <t>140</t>
  </si>
  <si>
    <t>132,7985</t>
  </si>
  <si>
    <t>165,8003</t>
  </si>
  <si>
    <t>143,1568</t>
  </si>
  <si>
    <t>141,3894</t>
  </si>
  <si>
    <t>Результат</t>
  </si>
  <si>
    <t>Кожуховская Ирина</t>
  </si>
  <si>
    <t>Открытая (05.07.1986)/35</t>
  </si>
  <si>
    <t>Савчук Анастасия</t>
  </si>
  <si>
    <t>Открытая (31.03.1992)/29</t>
  </si>
  <si>
    <t>54,90</t>
  </si>
  <si>
    <t xml:space="preserve">Силантьев А. </t>
  </si>
  <si>
    <t>Ефремова Елена</t>
  </si>
  <si>
    <t>Открытая (01.04.1987)/34</t>
  </si>
  <si>
    <t>54,50</t>
  </si>
  <si>
    <t xml:space="preserve">Гусев А. </t>
  </si>
  <si>
    <t>Фомичева Елена</t>
  </si>
  <si>
    <t>Открытая (15.03.1990)/31</t>
  </si>
  <si>
    <t>Лукина Анна</t>
  </si>
  <si>
    <t>Девушки 15-19 (04.01.2002)/19</t>
  </si>
  <si>
    <t>59,90</t>
  </si>
  <si>
    <t xml:space="preserve">Минькач И. </t>
  </si>
  <si>
    <t>Геташвили Мария</t>
  </si>
  <si>
    <t>Открытая (18.06.1980)/41</t>
  </si>
  <si>
    <t>56,70</t>
  </si>
  <si>
    <t xml:space="preserve">Крутиков А. </t>
  </si>
  <si>
    <t>Помогаева Елена</t>
  </si>
  <si>
    <t>Открытая (07.07.1981)/40</t>
  </si>
  <si>
    <t>Борисова Ксения</t>
  </si>
  <si>
    <t>Открытая (16.01.1993)/28</t>
  </si>
  <si>
    <t>Николаева Татьяна</t>
  </si>
  <si>
    <t>Открытая (10.08.1984)/37</t>
  </si>
  <si>
    <t>57,10</t>
  </si>
  <si>
    <t xml:space="preserve">Николаев М. </t>
  </si>
  <si>
    <t>Власова Елена</t>
  </si>
  <si>
    <t>59,80</t>
  </si>
  <si>
    <t xml:space="preserve">Илюшин Е. </t>
  </si>
  <si>
    <t>Лесман Елена</t>
  </si>
  <si>
    <t>Открытая (17.04.1981)/40</t>
  </si>
  <si>
    <t>Шматова Мария</t>
  </si>
  <si>
    <t>Открытая (14.12.1986)/34</t>
  </si>
  <si>
    <t>Заложных Галина</t>
  </si>
  <si>
    <t>85,70</t>
  </si>
  <si>
    <t xml:space="preserve">Алёхин М. </t>
  </si>
  <si>
    <t>Орлова Александра</t>
  </si>
  <si>
    <t>115,00</t>
  </si>
  <si>
    <t xml:space="preserve">Максимов Р. </t>
  </si>
  <si>
    <t>Крюков Максим</t>
  </si>
  <si>
    <t>Юноши 15-19 (08.02.2006)/15</t>
  </si>
  <si>
    <t>57,20</t>
  </si>
  <si>
    <t>Никитин Арсений</t>
  </si>
  <si>
    <t>Юноши 15-19 (25.10.2007)/14</t>
  </si>
  <si>
    <t>57,90</t>
  </si>
  <si>
    <t>Самсонов Евгений</t>
  </si>
  <si>
    <t>Открытая (10.10.1987)/34</t>
  </si>
  <si>
    <t>59,70</t>
  </si>
  <si>
    <t>Храпко Сергей</t>
  </si>
  <si>
    <t>65,90</t>
  </si>
  <si>
    <t>Гайда Кирилл</t>
  </si>
  <si>
    <t>67,10</t>
  </si>
  <si>
    <t xml:space="preserve">Именьев А. </t>
  </si>
  <si>
    <t>Николаев Андрей</t>
  </si>
  <si>
    <t>Открытая (04.09.1990)/31</t>
  </si>
  <si>
    <t>65,50</t>
  </si>
  <si>
    <t>Новиков Алексей</t>
  </si>
  <si>
    <t>Открытая (25.02.1984)/37</t>
  </si>
  <si>
    <t>67,30</t>
  </si>
  <si>
    <t>Чеботаев Вячеслав</t>
  </si>
  <si>
    <t>Открытая (16.02.1989)/32</t>
  </si>
  <si>
    <t>Фролов Александр</t>
  </si>
  <si>
    <t>Юноши 15-19 (18.10.2005)/16</t>
  </si>
  <si>
    <t>71,80</t>
  </si>
  <si>
    <t>Сушков Даниил</t>
  </si>
  <si>
    <t>Открытая (11.05.1988)/33</t>
  </si>
  <si>
    <t>74,50</t>
  </si>
  <si>
    <t>Товин Павел</t>
  </si>
  <si>
    <t>Открытая (01.12.1990)/30</t>
  </si>
  <si>
    <t>73,90</t>
  </si>
  <si>
    <t xml:space="preserve">Сорокин С. </t>
  </si>
  <si>
    <t>Семёнов Алексей</t>
  </si>
  <si>
    <t>Открытая (24.04.1984)/37</t>
  </si>
  <si>
    <t>72,20</t>
  </si>
  <si>
    <t>Желябовский Дмитрий</t>
  </si>
  <si>
    <t>Рубичев Дмитрий</t>
  </si>
  <si>
    <t>73,70</t>
  </si>
  <si>
    <t>Крикунов Юрий</t>
  </si>
  <si>
    <t>Шмыров Вадим</t>
  </si>
  <si>
    <t>79,30</t>
  </si>
  <si>
    <t>Сенькин Станислав</t>
  </si>
  <si>
    <t>Открытая (22.01.1996)/25</t>
  </si>
  <si>
    <t>Платонов Максим</t>
  </si>
  <si>
    <t>Открытая (07.04.1995)/26</t>
  </si>
  <si>
    <t>Сергеев Дмитрий</t>
  </si>
  <si>
    <t>Открытая (17.01.1982)/39</t>
  </si>
  <si>
    <t>Сафонов Сергей</t>
  </si>
  <si>
    <t>Открытая (18.08.1985)/36</t>
  </si>
  <si>
    <t>80,20</t>
  </si>
  <si>
    <t>Скопин Александр</t>
  </si>
  <si>
    <t>Открытая (21.09.1994)/27</t>
  </si>
  <si>
    <t>79,20</t>
  </si>
  <si>
    <t>Куксин Сергей</t>
  </si>
  <si>
    <t>Открытая (03.10.1983)/38</t>
  </si>
  <si>
    <t>Жуков Сергей</t>
  </si>
  <si>
    <t>Открытая (11.07.1981)/40</t>
  </si>
  <si>
    <t>81,60</t>
  </si>
  <si>
    <t>Яцковский Андрей</t>
  </si>
  <si>
    <t>76,30</t>
  </si>
  <si>
    <t xml:space="preserve">Самойлов А. </t>
  </si>
  <si>
    <t>Клименко Владимир</t>
  </si>
  <si>
    <t>81,10</t>
  </si>
  <si>
    <t xml:space="preserve">Наумов А. </t>
  </si>
  <si>
    <t>Фролов Станислав</t>
  </si>
  <si>
    <t>Открытая (15.09.1991)/30</t>
  </si>
  <si>
    <t>89,80</t>
  </si>
  <si>
    <t>Сокол Андрей</t>
  </si>
  <si>
    <t>Открытая (22.05.1987)/34</t>
  </si>
  <si>
    <t>Хабалов Андрей</t>
  </si>
  <si>
    <t>87,60</t>
  </si>
  <si>
    <t>Зайниев Азат</t>
  </si>
  <si>
    <t xml:space="preserve">Хасаншин А. </t>
  </si>
  <si>
    <t>Медведев Михаил</t>
  </si>
  <si>
    <t>Макарцов Вадим</t>
  </si>
  <si>
    <t>Открытая (07.08.1981)/40</t>
  </si>
  <si>
    <t>96,00</t>
  </si>
  <si>
    <t xml:space="preserve">Калиниченко В. </t>
  </si>
  <si>
    <t>Плотников Герман</t>
  </si>
  <si>
    <t>Открытая (08.05.1976)/45</t>
  </si>
  <si>
    <t>98,50</t>
  </si>
  <si>
    <t>Морошкин Александр</t>
  </si>
  <si>
    <t>Открытая (23.02.1996)/25</t>
  </si>
  <si>
    <t>98,00</t>
  </si>
  <si>
    <t xml:space="preserve">Бобров В. </t>
  </si>
  <si>
    <t>Козлов Евгений</t>
  </si>
  <si>
    <t>93,90</t>
  </si>
  <si>
    <t>Стасюк Игорь</t>
  </si>
  <si>
    <t>Открытая (09.01.1983)/38</t>
  </si>
  <si>
    <t>109,50</t>
  </si>
  <si>
    <t>Федосеев Дмитрий</t>
  </si>
  <si>
    <t>Открытая (06.06.1978)/43</t>
  </si>
  <si>
    <t>Аннин Сергей</t>
  </si>
  <si>
    <t>Открытая (08.02.1981)/40</t>
  </si>
  <si>
    <t>109,00</t>
  </si>
  <si>
    <t>Киевский Никита</t>
  </si>
  <si>
    <t>Открытая (14.03.1988)/33</t>
  </si>
  <si>
    <t>108,50</t>
  </si>
  <si>
    <t>Кончаковский Геннадий</t>
  </si>
  <si>
    <t>Открытая (12.02.1987)/34</t>
  </si>
  <si>
    <t>104,60</t>
  </si>
  <si>
    <t>Махмутов Игорь</t>
  </si>
  <si>
    <t>Открытая (17.11.1990)/31</t>
  </si>
  <si>
    <t>101,50</t>
  </si>
  <si>
    <t>Лыгин Александр</t>
  </si>
  <si>
    <t>Открытая (06.10.1993)/28</t>
  </si>
  <si>
    <t>105,50</t>
  </si>
  <si>
    <t>Сыромясов Владимир</t>
  </si>
  <si>
    <t>104,20</t>
  </si>
  <si>
    <t xml:space="preserve">Павлов.А. </t>
  </si>
  <si>
    <t>Болотнов Юрий</t>
  </si>
  <si>
    <t>108,00</t>
  </si>
  <si>
    <t>Максимов Роман</t>
  </si>
  <si>
    <t>108,30</t>
  </si>
  <si>
    <t>Крипак Сергей</t>
  </si>
  <si>
    <t>109,80</t>
  </si>
  <si>
    <t>Яковенко Владимир</t>
  </si>
  <si>
    <t>109,10</t>
  </si>
  <si>
    <t>143,0</t>
  </si>
  <si>
    <t>Карпов Илья</t>
  </si>
  <si>
    <t>Открытая (29.06.1993)/28</t>
  </si>
  <si>
    <t>115,80</t>
  </si>
  <si>
    <t>Намазов Руслан</t>
  </si>
  <si>
    <t>Открытая (07.01.1994)/27</t>
  </si>
  <si>
    <t>113,30</t>
  </si>
  <si>
    <t>Усков Георгий</t>
  </si>
  <si>
    <t>Открытая (16.09.1983)/38</t>
  </si>
  <si>
    <t>Мальков Олег</t>
  </si>
  <si>
    <t>122,20</t>
  </si>
  <si>
    <t>Sirmen Murat</t>
  </si>
  <si>
    <t>123,30</t>
  </si>
  <si>
    <t xml:space="preserve">TUR/Antalia </t>
  </si>
  <si>
    <t>Tugral Murat</t>
  </si>
  <si>
    <t>137,70</t>
  </si>
  <si>
    <t>Чубаров Владимир</t>
  </si>
  <si>
    <t>132,90</t>
  </si>
  <si>
    <t>101,5750</t>
  </si>
  <si>
    <t>132,5925</t>
  </si>
  <si>
    <t>127,6000</t>
  </si>
  <si>
    <t>126,9155</t>
  </si>
  <si>
    <t>141,2866</t>
  </si>
  <si>
    <t>137,8845</t>
  </si>
  <si>
    <t>6</t>
  </si>
  <si>
    <t>7</t>
  </si>
  <si>
    <t>Гуцевич Александр</t>
  </si>
  <si>
    <t>Открытая (23.09.1966)/55</t>
  </si>
  <si>
    <t>90,00</t>
  </si>
  <si>
    <t>212,5</t>
  </si>
  <si>
    <t>Кончаков Владимир</t>
  </si>
  <si>
    <t>Открытая (25.05.1973)/48</t>
  </si>
  <si>
    <t>99,90</t>
  </si>
  <si>
    <t xml:space="preserve">Белкин Ю. </t>
  </si>
  <si>
    <t>Некрасов Марат</t>
  </si>
  <si>
    <t>Открытая (14.08.1990)/31</t>
  </si>
  <si>
    <t>110,00</t>
  </si>
  <si>
    <t>267,5</t>
  </si>
  <si>
    <t>Толстов Станислав</t>
  </si>
  <si>
    <t>Открытая (08.12.1988)/32</t>
  </si>
  <si>
    <t>107,50</t>
  </si>
  <si>
    <t xml:space="preserve">Абдуллин М. </t>
  </si>
  <si>
    <t>Башков Андрей</t>
  </si>
  <si>
    <t>Открытая (23.09.1981)/40</t>
  </si>
  <si>
    <t>120,50</t>
  </si>
  <si>
    <t>Кокорев Илья</t>
  </si>
  <si>
    <t>Открытая (19.01.1973)/48</t>
  </si>
  <si>
    <t>82,40</t>
  </si>
  <si>
    <t>Рысцов Александр</t>
  </si>
  <si>
    <t>Открытая (02.12.1979)/41</t>
  </si>
  <si>
    <t>114,20</t>
  </si>
  <si>
    <t>287,5</t>
  </si>
  <si>
    <t>Кончакова Наталья</t>
  </si>
  <si>
    <t>55,50</t>
  </si>
  <si>
    <t>195,5</t>
  </si>
  <si>
    <t xml:space="preserve">Исаков П. </t>
  </si>
  <si>
    <t>Ступин Максим</t>
  </si>
  <si>
    <t>Открытая (22.03.1988)/33</t>
  </si>
  <si>
    <t>Зайцев Вадим</t>
  </si>
  <si>
    <t>350,5</t>
  </si>
  <si>
    <t>Кравченко Евгений</t>
  </si>
  <si>
    <t>Открытая (03.11.1986)/35</t>
  </si>
  <si>
    <t>98,40</t>
  </si>
  <si>
    <t>350,0</t>
  </si>
  <si>
    <t>Дмитриев Иван</t>
  </si>
  <si>
    <t>Открытая (11.06.1970)/51</t>
  </si>
  <si>
    <t>305,0</t>
  </si>
  <si>
    <t>Эльмурзиев Алихан</t>
  </si>
  <si>
    <t xml:space="preserve">Яковлев А. </t>
  </si>
  <si>
    <t>Сытников Валерий</t>
  </si>
  <si>
    <t>99,60</t>
  </si>
  <si>
    <t xml:space="preserve">Тарасов Э. </t>
  </si>
  <si>
    <t>Куликов Евгений</t>
  </si>
  <si>
    <t>Открытая (18.03.1983)/38</t>
  </si>
  <si>
    <t>123,70</t>
  </si>
  <si>
    <t xml:space="preserve">Порядин. И. </t>
  </si>
  <si>
    <t>Власов Михаил</t>
  </si>
  <si>
    <t>118,00</t>
  </si>
  <si>
    <t xml:space="preserve">Дмитриев И. </t>
  </si>
  <si>
    <t>Лопухова Мария</t>
  </si>
  <si>
    <t>Открытая (07.12.1997)/23</t>
  </si>
  <si>
    <t>47,60</t>
  </si>
  <si>
    <t xml:space="preserve">Моргулец Д. </t>
  </si>
  <si>
    <t>Ших Анна</t>
  </si>
  <si>
    <t>Открытая (02.07.1989)/32</t>
  </si>
  <si>
    <t>51,70</t>
  </si>
  <si>
    <t>Мамцова Марианна</t>
  </si>
  <si>
    <t>Открытая (10.08.1985)/36</t>
  </si>
  <si>
    <t>49,90</t>
  </si>
  <si>
    <t xml:space="preserve">Рудаков Д. </t>
  </si>
  <si>
    <t>Тельнова Мария</t>
  </si>
  <si>
    <t>52,40</t>
  </si>
  <si>
    <t xml:space="preserve">Папян А. </t>
  </si>
  <si>
    <t>Цветкова Светлана</t>
  </si>
  <si>
    <t>Открытая (10.03.1980)/41</t>
  </si>
  <si>
    <t>56,00</t>
  </si>
  <si>
    <t>171,0</t>
  </si>
  <si>
    <t>Балякина Евгения</t>
  </si>
  <si>
    <t>Открытая (15.12.1990)/30</t>
  </si>
  <si>
    <t xml:space="preserve">Собко М. </t>
  </si>
  <si>
    <t>Открытая (17.04.2001)/20</t>
  </si>
  <si>
    <t>Шахунц Евгения</t>
  </si>
  <si>
    <t>Открытая (14.04.1992)/29</t>
  </si>
  <si>
    <t>54,40</t>
  </si>
  <si>
    <t xml:space="preserve">Салахетдинов Э. </t>
  </si>
  <si>
    <t>Ибрагимова Камила</t>
  </si>
  <si>
    <t>Открытая (31.01.1997)/24</t>
  </si>
  <si>
    <t xml:space="preserve">Зайцев А. </t>
  </si>
  <si>
    <t>Гафиева Екатерина</t>
  </si>
  <si>
    <t>64,30</t>
  </si>
  <si>
    <t xml:space="preserve">Когадеева Д. </t>
  </si>
  <si>
    <t>Котлярова Наталья</t>
  </si>
  <si>
    <t>Открытая (31.12.1972)/48</t>
  </si>
  <si>
    <t xml:space="preserve">Гореликов Д. </t>
  </si>
  <si>
    <t>Щербаков Дмитрий</t>
  </si>
  <si>
    <t>Открытая (27.04.1984)/37</t>
  </si>
  <si>
    <t>Оларь Василий</t>
  </si>
  <si>
    <t>Открытая (13.01.1994)/27</t>
  </si>
  <si>
    <t>79,00</t>
  </si>
  <si>
    <t xml:space="preserve">MDA/Кишинев </t>
  </si>
  <si>
    <t>Сивак Сергей</t>
  </si>
  <si>
    <t>77,30</t>
  </si>
  <si>
    <t>Скокин Виктор</t>
  </si>
  <si>
    <t xml:space="preserve">Хламков А. </t>
  </si>
  <si>
    <t>Тимошенко Дмитрий</t>
  </si>
  <si>
    <t>Открытая (20.07.1995)/26</t>
  </si>
  <si>
    <t>88,90</t>
  </si>
  <si>
    <t>Котляров Владимир</t>
  </si>
  <si>
    <t>88,70</t>
  </si>
  <si>
    <t>Марченко Эдуард</t>
  </si>
  <si>
    <t>Открытая (17.03.1992)/29</t>
  </si>
  <si>
    <t>96,90</t>
  </si>
  <si>
    <t xml:space="preserve">UKR/Кривой Рог </t>
  </si>
  <si>
    <t>Сахаров Юрий</t>
  </si>
  <si>
    <t>Открытая (07.12.1986)/34</t>
  </si>
  <si>
    <t>Дуруев Артур</t>
  </si>
  <si>
    <t>Открытая (08.07.1994)/27</t>
  </si>
  <si>
    <t>137,10</t>
  </si>
  <si>
    <t>Мартьянов Кирилл</t>
  </si>
  <si>
    <t>Открытая (13.10.1990)/31</t>
  </si>
  <si>
    <t>125,60</t>
  </si>
  <si>
    <t>197,0805</t>
  </si>
  <si>
    <t>197,0205</t>
  </si>
  <si>
    <t>196,6140</t>
  </si>
  <si>
    <t>184,9800</t>
  </si>
  <si>
    <t>184,6350</t>
  </si>
  <si>
    <t>181,8180</t>
  </si>
  <si>
    <t>Куликов Станислав</t>
  </si>
  <si>
    <t>Открытая (29.11.1978)/42</t>
  </si>
  <si>
    <t>95,60</t>
  </si>
  <si>
    <t xml:space="preserve">Лепешенков В. </t>
  </si>
  <si>
    <t>Гришина Полина</t>
  </si>
  <si>
    <t>Открытая (19.04.1988)/33</t>
  </si>
  <si>
    <t>66,30</t>
  </si>
  <si>
    <t xml:space="preserve">Нойман. Ю </t>
  </si>
  <si>
    <t>Федюнина Алиса</t>
  </si>
  <si>
    <t>Открытая (24.07.1997)/24</t>
  </si>
  <si>
    <t>73,10</t>
  </si>
  <si>
    <t>Ларская Алиса</t>
  </si>
  <si>
    <t>Открытая (18.04.1989)/32</t>
  </si>
  <si>
    <t>67,40</t>
  </si>
  <si>
    <t xml:space="preserve">Ларская А. </t>
  </si>
  <si>
    <t>Сидоровский Сергей</t>
  </si>
  <si>
    <t>74,70</t>
  </si>
  <si>
    <t xml:space="preserve">Силушин П. </t>
  </si>
  <si>
    <t>Шейкин Алексей</t>
  </si>
  <si>
    <t>Открытая (24.03.1988)/33</t>
  </si>
  <si>
    <t>89,00</t>
  </si>
  <si>
    <t xml:space="preserve">BLR/Бобруйск </t>
  </si>
  <si>
    <t>Герун Андрей</t>
  </si>
  <si>
    <t>97,00</t>
  </si>
  <si>
    <t>Голуб Анна</t>
  </si>
  <si>
    <t>Открытая (23.06.1992)/29</t>
  </si>
  <si>
    <t>Стальмакова Екатерина</t>
  </si>
  <si>
    <t>Открытая (14.02.1991)/30</t>
  </si>
  <si>
    <t>55,20</t>
  </si>
  <si>
    <t>30,0</t>
  </si>
  <si>
    <t>Юдина Евгения</t>
  </si>
  <si>
    <t>Черкасова Наталья</t>
  </si>
  <si>
    <t>72,00</t>
  </si>
  <si>
    <t>Кравцов Артём</t>
  </si>
  <si>
    <t>Юноши 15-19 (19.11.2002)/19</t>
  </si>
  <si>
    <t>69,70</t>
  </si>
  <si>
    <t xml:space="preserve">Гребнев Е </t>
  </si>
  <si>
    <t>Барбье Александр</t>
  </si>
  <si>
    <t>Кулебякин Руслан</t>
  </si>
  <si>
    <t>Открытая (26.02.1991)/30</t>
  </si>
  <si>
    <t>271,0</t>
  </si>
  <si>
    <t xml:space="preserve">Стародубский С. </t>
  </si>
  <si>
    <t>Лыткина Алла</t>
  </si>
  <si>
    <t>Открытая (25.07.1983)/38</t>
  </si>
  <si>
    <t>56,60</t>
  </si>
  <si>
    <t xml:space="preserve">Кушнир В. </t>
  </si>
  <si>
    <t xml:space="preserve">Ковалев С. </t>
  </si>
  <si>
    <t>Березовский Степан</t>
  </si>
  <si>
    <t>Открытая (26.08.1988)/33</t>
  </si>
  <si>
    <t>Кушнир Владимир</t>
  </si>
  <si>
    <t>Открытая (22.03.1977)/44</t>
  </si>
  <si>
    <t xml:space="preserve">Gloss </t>
  </si>
  <si>
    <t xml:space="preserve">Мастера 60+ </t>
  </si>
  <si>
    <t>Сергеева Виктория</t>
  </si>
  <si>
    <t>Открытая (08.12.1982)/38</t>
  </si>
  <si>
    <t>20,0</t>
  </si>
  <si>
    <t>32,5</t>
  </si>
  <si>
    <t>22,5</t>
  </si>
  <si>
    <t>25,0</t>
  </si>
  <si>
    <t>66,0</t>
  </si>
  <si>
    <t>27,5</t>
  </si>
  <si>
    <t>65,60</t>
  </si>
  <si>
    <t>76,00</t>
  </si>
  <si>
    <t>21,0</t>
  </si>
  <si>
    <t>Шишикин Владимир</t>
  </si>
  <si>
    <t>50,10</t>
  </si>
  <si>
    <t xml:space="preserve">Тропин Г. </t>
  </si>
  <si>
    <t>59,30</t>
  </si>
  <si>
    <t>46,0</t>
  </si>
  <si>
    <t>74,40</t>
  </si>
  <si>
    <t>Жим стоя</t>
  </si>
  <si>
    <t>Talman Viktor</t>
  </si>
  <si>
    <t>Открытая (16.08.1991)/30</t>
  </si>
  <si>
    <t xml:space="preserve">BLR/Минск </t>
  </si>
  <si>
    <t xml:space="preserve">Манюк А. </t>
  </si>
  <si>
    <t>Гонтарь Светлана</t>
  </si>
  <si>
    <t>Открытая (13.11.1982)/39</t>
  </si>
  <si>
    <t>Бруевич Юлия</t>
  </si>
  <si>
    <t>Открытая (10.01.1983)/38</t>
  </si>
  <si>
    <t xml:space="preserve">Алёхин М. Н. </t>
  </si>
  <si>
    <t>Шутов Михаил</t>
  </si>
  <si>
    <t>106,50</t>
  </si>
  <si>
    <t>Подошевкина Инна</t>
  </si>
  <si>
    <t>66,00</t>
  </si>
  <si>
    <t xml:space="preserve">Николай П. </t>
  </si>
  <si>
    <t>Кузьмин Иван</t>
  </si>
  <si>
    <t>49,20</t>
  </si>
  <si>
    <t>Никитченко Сергей</t>
  </si>
  <si>
    <t>Сакович Олег</t>
  </si>
  <si>
    <t>Открытая (21.08.1992)/29</t>
  </si>
  <si>
    <t>Пенько Константин</t>
  </si>
  <si>
    <t>80,90</t>
  </si>
  <si>
    <t>Васильев Алексей</t>
  </si>
  <si>
    <t>Открытая (18.01.1982)/39</t>
  </si>
  <si>
    <t>86,10</t>
  </si>
  <si>
    <t>Мельяновский Александр</t>
  </si>
  <si>
    <t>Открытая (05.04.1978)/43</t>
  </si>
  <si>
    <t>86,70</t>
  </si>
  <si>
    <t>Солдатов Максим</t>
  </si>
  <si>
    <t>Открытая (27.09.1982)/39</t>
  </si>
  <si>
    <t>85,90</t>
  </si>
  <si>
    <t xml:space="preserve">Трухтанов П. </t>
  </si>
  <si>
    <t>Мартынов Михаил</t>
  </si>
  <si>
    <t>97,90</t>
  </si>
  <si>
    <t>Темиров Хуршед</t>
  </si>
  <si>
    <t>93,70</t>
  </si>
  <si>
    <t>Смирнов Леонид</t>
  </si>
  <si>
    <t>Мастера 60+ (26.09.1957)/64</t>
  </si>
  <si>
    <t>93,80</t>
  </si>
  <si>
    <t>Егоров Анатолий</t>
  </si>
  <si>
    <t>Мастера 60+ (15.11.1941)/80</t>
  </si>
  <si>
    <t>Сербин Анатолий</t>
  </si>
  <si>
    <t>Открытая (26.07.1990)/31</t>
  </si>
  <si>
    <t>119,00</t>
  </si>
  <si>
    <t>Николаев Кирилл</t>
  </si>
  <si>
    <t>Открытая (13.07.1980)/41</t>
  </si>
  <si>
    <t>66,2350</t>
  </si>
  <si>
    <t>60,7200</t>
  </si>
  <si>
    <t>50,2335</t>
  </si>
  <si>
    <t>53,6249</t>
  </si>
  <si>
    <t>51,8452</t>
  </si>
  <si>
    <t>50,7358</t>
  </si>
  <si>
    <t>Лукина Ксения</t>
  </si>
  <si>
    <t>29,70</t>
  </si>
  <si>
    <t xml:space="preserve">Лукин М. </t>
  </si>
  <si>
    <t>43,5</t>
  </si>
  <si>
    <t>Халилова Диана</t>
  </si>
  <si>
    <t>Открытая (24.03.1991)/30</t>
  </si>
  <si>
    <t>Локтионова Валентина</t>
  </si>
  <si>
    <t>Открытая (15.11.1992)/29</t>
  </si>
  <si>
    <t>60,00</t>
  </si>
  <si>
    <t>Ромасенко Наталья</t>
  </si>
  <si>
    <t>Рыжова Дарья</t>
  </si>
  <si>
    <t>Юлдашбаев Мурат</t>
  </si>
  <si>
    <t>58,70</t>
  </si>
  <si>
    <t>Катаргин Дмитрий</t>
  </si>
  <si>
    <t>Сударев Дмитрий</t>
  </si>
  <si>
    <t>Открытая (14.09.1990)/31</t>
  </si>
  <si>
    <t>67,20</t>
  </si>
  <si>
    <t>65,5</t>
  </si>
  <si>
    <t>Колесников Василий</t>
  </si>
  <si>
    <t>Открытая (17.02.1994)/27</t>
  </si>
  <si>
    <t>66,40</t>
  </si>
  <si>
    <t>63,5</t>
  </si>
  <si>
    <t>Пичулин Алексей</t>
  </si>
  <si>
    <t>66,60</t>
  </si>
  <si>
    <t>Захаров Дмитрий</t>
  </si>
  <si>
    <t>73,50</t>
  </si>
  <si>
    <t>Качалин Андрей</t>
  </si>
  <si>
    <t>Открытая (14.10.1997)/24</t>
  </si>
  <si>
    <t>Семенов Александр</t>
  </si>
  <si>
    <t>Открытая (31.07.1997)/24</t>
  </si>
  <si>
    <t>Поздняков Вячеслав</t>
  </si>
  <si>
    <t>Открытая (28.09.1971)/50</t>
  </si>
  <si>
    <t>80,40</t>
  </si>
  <si>
    <t>Круглов Николай</t>
  </si>
  <si>
    <t>Открытая (24.04.1995)/26</t>
  </si>
  <si>
    <t>81,40</t>
  </si>
  <si>
    <t>Минькач Игорь</t>
  </si>
  <si>
    <t>Открытая (05.11.1989)/32</t>
  </si>
  <si>
    <t>Румянцев Дмитрий</t>
  </si>
  <si>
    <t>Лалас Сергей</t>
  </si>
  <si>
    <t>Открытая (10.05.1985)/36</t>
  </si>
  <si>
    <t>Лукин Михаил</t>
  </si>
  <si>
    <t>Открытая (16.01.1984)/37</t>
  </si>
  <si>
    <t>Воронин Денис</t>
  </si>
  <si>
    <t>Открытая (20.02.1992)/29</t>
  </si>
  <si>
    <t>Taskin Onder</t>
  </si>
  <si>
    <t>Открытая (01.01.1978)/43</t>
  </si>
  <si>
    <t xml:space="preserve">TUR/Afyonkarahisar </t>
  </si>
  <si>
    <t>Спиридонов Павел</t>
  </si>
  <si>
    <t>112,30</t>
  </si>
  <si>
    <t xml:space="preserve">Никифоров Д. </t>
  </si>
  <si>
    <t>49,1506</t>
  </si>
  <si>
    <t>45,7335</t>
  </si>
  <si>
    <t>33,6375</t>
  </si>
  <si>
    <t>58,5915</t>
  </si>
  <si>
    <t>49,2069</t>
  </si>
  <si>
    <t>48,1965</t>
  </si>
  <si>
    <t>Черников Олег</t>
  </si>
  <si>
    <t>Открытая (11.04.1992)/29</t>
  </si>
  <si>
    <t>76,60</t>
  </si>
  <si>
    <t>Алёхин Михаил</t>
  </si>
  <si>
    <t>Открытая (15.04.1987)/34</t>
  </si>
  <si>
    <t>87,90</t>
  </si>
  <si>
    <t xml:space="preserve">Зайцев С. </t>
  </si>
  <si>
    <t>Дендин Владимир</t>
  </si>
  <si>
    <t xml:space="preserve">Акимов И. </t>
  </si>
  <si>
    <t>Коровушкина Александра</t>
  </si>
  <si>
    <t>Открытая (20.11.1999)/22</t>
  </si>
  <si>
    <t>Козочкина Олеся</t>
  </si>
  <si>
    <t>Открытая (11.08.1993)/28</t>
  </si>
  <si>
    <t xml:space="preserve">Майорова М. </t>
  </si>
  <si>
    <t>Овсянникова Анна</t>
  </si>
  <si>
    <t>Открытая (21.04.1986)/35</t>
  </si>
  <si>
    <t>57,00</t>
  </si>
  <si>
    <t>Теплова Дина</t>
  </si>
  <si>
    <t xml:space="preserve">Гредягин А. </t>
  </si>
  <si>
    <t>Воронина Полина</t>
  </si>
  <si>
    <t>Открытая (02.12.1992)/28</t>
  </si>
  <si>
    <t>65,70</t>
  </si>
  <si>
    <t xml:space="preserve">Воронин Д. </t>
  </si>
  <si>
    <t>Кушниренко Станислав</t>
  </si>
  <si>
    <t>Открытая (20.06.1991)/30</t>
  </si>
  <si>
    <t>Заморуев Денис</t>
  </si>
  <si>
    <t>68,40</t>
  </si>
  <si>
    <t>Гирейко Юрий</t>
  </si>
  <si>
    <t>Открытая (27.01.1987)/34</t>
  </si>
  <si>
    <t>Манусевич Владимир</t>
  </si>
  <si>
    <t>Мастера 60+ (26.03.1946)/75</t>
  </si>
  <si>
    <t>53,0</t>
  </si>
  <si>
    <t>45,5</t>
  </si>
  <si>
    <t>Шевченко Юрий</t>
  </si>
  <si>
    <t>Открытая (18.04.1985)/36</t>
  </si>
  <si>
    <t>93,50</t>
  </si>
  <si>
    <t>Фирсов Алексей</t>
  </si>
  <si>
    <t>Открытая (29.12.1988)/32</t>
  </si>
  <si>
    <t>94,70</t>
  </si>
  <si>
    <t>Левенец Евгений</t>
  </si>
  <si>
    <t>101,60</t>
  </si>
  <si>
    <t>91,0</t>
  </si>
  <si>
    <t>102,8209</t>
  </si>
  <si>
    <t>92,4833</t>
  </si>
  <si>
    <t>74,5687</t>
  </si>
  <si>
    <t>106,4379</t>
  </si>
  <si>
    <t>99,4071</t>
  </si>
  <si>
    <t>98,5425</t>
  </si>
  <si>
    <t>Новикова Лилия</t>
  </si>
  <si>
    <t>Мастера 50-59 (20.08.1964)/57</t>
  </si>
  <si>
    <t xml:space="preserve">Ковалёв С. </t>
  </si>
  <si>
    <t>Одинцова Любовь</t>
  </si>
  <si>
    <t>Мастера 60-69 (24.10.1960)/61</t>
  </si>
  <si>
    <t>64,60</t>
  </si>
  <si>
    <t>Зайцева Таисья</t>
  </si>
  <si>
    <t>Мастера 70-79 (30.08.1947)/74</t>
  </si>
  <si>
    <t>77,10</t>
  </si>
  <si>
    <t>Маева Татьяна</t>
  </si>
  <si>
    <t>Мастера 60-69 (05.07.1958)/63</t>
  </si>
  <si>
    <t>Егорушкина Надежда</t>
  </si>
  <si>
    <t>Мастера 70-79 (14.07.1947)/74</t>
  </si>
  <si>
    <t>Попов Антон</t>
  </si>
  <si>
    <t>Открытая (11.01.1989)/32</t>
  </si>
  <si>
    <t>64,80</t>
  </si>
  <si>
    <t>Косарев Евгений</t>
  </si>
  <si>
    <t>Мастера 60-69 (29.03.1961)/60</t>
  </si>
  <si>
    <t>Зайцев Евгений</t>
  </si>
  <si>
    <t>Открытая (26.01.1994)/27</t>
  </si>
  <si>
    <t>70,50</t>
  </si>
  <si>
    <t>Курушин Денис</t>
  </si>
  <si>
    <t>Открытая (03.12.1984)/36</t>
  </si>
  <si>
    <t>69,00</t>
  </si>
  <si>
    <t>Петрокович Николай</t>
  </si>
  <si>
    <t>Открытая (17.08.1979)/42</t>
  </si>
  <si>
    <t>86,30</t>
  </si>
  <si>
    <t>Леднев Александр</t>
  </si>
  <si>
    <t>Мастера 40-49 (02.05.1973)/48</t>
  </si>
  <si>
    <t>84,70</t>
  </si>
  <si>
    <t>Мастера 40-49 (17.08.1979)/42</t>
  </si>
  <si>
    <t>Гвоздев Георгий</t>
  </si>
  <si>
    <t>Мастера 60-69 (26.04.1959)/62</t>
  </si>
  <si>
    <t>83,40</t>
  </si>
  <si>
    <t>Аристов Олег</t>
  </si>
  <si>
    <t>Мастера 60-69 (08.03.1954)/67</t>
  </si>
  <si>
    <t>93,40</t>
  </si>
  <si>
    <t>Горюнов Артем</t>
  </si>
  <si>
    <t>Открытая (27.08.1983)/38</t>
  </si>
  <si>
    <t>107,60</t>
  </si>
  <si>
    <t>Ковалев Сергей</t>
  </si>
  <si>
    <t>Мастера 50-59 (22.05.1969)/52</t>
  </si>
  <si>
    <t>100,30</t>
  </si>
  <si>
    <t>Дробин Дмитрий</t>
  </si>
  <si>
    <t>Мастера 40-49 (13.06.1981)/40</t>
  </si>
  <si>
    <t>138,00</t>
  </si>
  <si>
    <t>Мастера 40-49 (15.08.1978)/43</t>
  </si>
  <si>
    <t xml:space="preserve">Мастера 70-79 </t>
  </si>
  <si>
    <t>88,4271</t>
  </si>
  <si>
    <t xml:space="preserve">Мастера 60-69 </t>
  </si>
  <si>
    <t>88,1120</t>
  </si>
  <si>
    <t xml:space="preserve">Мастера 50-59 </t>
  </si>
  <si>
    <t>69,6588</t>
  </si>
  <si>
    <t>109,3942</t>
  </si>
  <si>
    <t>104,7782</t>
  </si>
  <si>
    <t>101,8295</t>
  </si>
  <si>
    <t>Силушин Павел</t>
  </si>
  <si>
    <t>Открытая (17.09.1989)/32</t>
  </si>
  <si>
    <t>80,60</t>
  </si>
  <si>
    <t xml:space="preserve">Силушин А. </t>
  </si>
  <si>
    <t>Решетник Константин</t>
  </si>
  <si>
    <t>Открытая (10.03.1987)/34</t>
  </si>
  <si>
    <t>99,00</t>
  </si>
  <si>
    <t xml:space="preserve">Александров А. </t>
  </si>
  <si>
    <t>Алькова Диана</t>
  </si>
  <si>
    <t>56,40</t>
  </si>
  <si>
    <t>Открытая (25.08.2001)/20</t>
  </si>
  <si>
    <t>Сарабьева Ольга</t>
  </si>
  <si>
    <t>Открытая (10.09.1974)/47</t>
  </si>
  <si>
    <t>104,50</t>
  </si>
  <si>
    <t xml:space="preserve">Терешин А. </t>
  </si>
  <si>
    <t>Варшавский Илья</t>
  </si>
  <si>
    <t>Открытая (03.11.1991)/30</t>
  </si>
  <si>
    <t>74,00</t>
  </si>
  <si>
    <t>Проскурин Дмитрий</t>
  </si>
  <si>
    <t>Открытая (24.06.1994)/27</t>
  </si>
  <si>
    <t>87,50</t>
  </si>
  <si>
    <t xml:space="preserve">Белянин Э. </t>
  </si>
  <si>
    <t>Велес Евгений</t>
  </si>
  <si>
    <t>Чадаев Александр</t>
  </si>
  <si>
    <t>Открытая (12.04.1973)/48</t>
  </si>
  <si>
    <t>137,50</t>
  </si>
  <si>
    <t>Мастера 40-49 (12.04.1973)/48</t>
  </si>
  <si>
    <t>Юниорки 20-23 (25.08.2001)/20</t>
  </si>
  <si>
    <t>Мастера 40-49 (10.09.1974)/47</t>
  </si>
  <si>
    <t>Мастера 40-49 (06.06.1978)/43</t>
  </si>
  <si>
    <t>Мастера 50-59 (09.03.1968)/53</t>
  </si>
  <si>
    <t xml:space="preserve">Мастера 40-49 </t>
  </si>
  <si>
    <t xml:space="preserve">Мастера 40-44 </t>
  </si>
  <si>
    <t>Мастера 40-49 (06.05.1975)/46</t>
  </si>
  <si>
    <t>Мастера 45-49 (06.05.1975)/46</t>
  </si>
  <si>
    <t xml:space="preserve">Мастера 45-49 </t>
  </si>
  <si>
    <t xml:space="preserve">Мастера 55-59 </t>
  </si>
  <si>
    <t xml:space="preserve">Мастера 65-69 </t>
  </si>
  <si>
    <t>Мастера 65-69 (30.04.1954)/67</t>
  </si>
  <si>
    <t>Мастера 65-69 (09.02.1954)/67</t>
  </si>
  <si>
    <t>Мастера 55-59 (03.04.1964)/57</t>
  </si>
  <si>
    <t>Мастера 40-44 (09.09.1979)/42</t>
  </si>
  <si>
    <t>Юниоры 20-23 (24.03.1999)/22</t>
  </si>
  <si>
    <t>Мастера 40-49 (03.12.1974)/46</t>
  </si>
  <si>
    <t>Юноши 13-19 (08.08.2004)/17</t>
  </si>
  <si>
    <t>Юниоры 20-23 (16.01.1998)/23</t>
  </si>
  <si>
    <t>Мастера 40-49 (25.08.1976)/45</t>
  </si>
  <si>
    <t>Мастера 40-49 (15.07.1977)/44</t>
  </si>
  <si>
    <t>Мастера 40-49 (13.07.1980)/41</t>
  </si>
  <si>
    <t>Девушки 13-19 (28.04.2012)/9</t>
  </si>
  <si>
    <t>Мастера 40-49 (14.04.1974)/47</t>
  </si>
  <si>
    <t>Мастера 40-49 (03.07.1978)/43</t>
  </si>
  <si>
    <t>Юноши 13-19 (25.05.2002)/19</t>
  </si>
  <si>
    <t>Юноши 13-19 (15.09.2002)/19</t>
  </si>
  <si>
    <t>Юниоры 20-23 (03.11.2000)/21</t>
  </si>
  <si>
    <t>Юниоры 20-23 (21.09.2000)/21</t>
  </si>
  <si>
    <t>Мастера 40-49 (21.08.1976)/45</t>
  </si>
  <si>
    <t>Юниоры 20-23 (07.06.2001)/20</t>
  </si>
  <si>
    <t>Мастера 40-49 (24.05.1978)/43</t>
  </si>
  <si>
    <t>Мастера 50-59 (28.09.1971)/50</t>
  </si>
  <si>
    <t>Мастера 40-49 (01.01.1978)/43</t>
  </si>
  <si>
    <t>Юниоры 20-23 (17.03.1999)/22</t>
  </si>
  <si>
    <t>Мастера 40-49 (09.01.1981)/40</t>
  </si>
  <si>
    <t>Мастера 40-49 (10.09.1978)/43</t>
  </si>
  <si>
    <t>Мастера 50-59 (10.05.1962)/59</t>
  </si>
  <si>
    <t>Мастера 40-49 (05.04.1978)/43</t>
  </si>
  <si>
    <t>Мастера 40-49 (25.12.1979)/41</t>
  </si>
  <si>
    <t>Мастера 40-49 (19.12.1978)/42</t>
  </si>
  <si>
    <t>Юниоры 20-23 (08.05.1999)/22</t>
  </si>
  <si>
    <t>Мастера 45-49 (21.09.1975)/46</t>
  </si>
  <si>
    <t>Мастера 45-49 (30.05.1976)/45</t>
  </si>
  <si>
    <t>Мастера 55-59 (21.07.1966)/55</t>
  </si>
  <si>
    <t>Мастера 45-49 (25.08.1976)/45</t>
  </si>
  <si>
    <t>Мастера 40-44 (13.10.1979)/42</t>
  </si>
  <si>
    <t>Мастера 50-54 (12.05.1971)/50</t>
  </si>
  <si>
    <t>Мастера 50-54 (02.02.1971)/50</t>
  </si>
  <si>
    <t>Юниорки 20-23 (28.07.1999)/22</t>
  </si>
  <si>
    <t>Мастера 55-59 (29.04.1966)/55</t>
  </si>
  <si>
    <t>Мастера 40-44 (29.11.1978)/42</t>
  </si>
  <si>
    <t>Мастера 45-49 (09.08.1976)/45</t>
  </si>
  <si>
    <t>Юниорки 20-23 (17.04.2001)/20</t>
  </si>
  <si>
    <t>Мастера 45-49 (01.10.1973)/48</t>
  </si>
  <si>
    <t>Мастера 45-49 (31.12.1972)/48</t>
  </si>
  <si>
    <t>Мастера 60-64 (25.05.1957)/64</t>
  </si>
  <si>
    <t>Мастера 65-69 (15.09.1952)/69</t>
  </si>
  <si>
    <t>Юниоры 20-23 (26.05.2001)/20</t>
  </si>
  <si>
    <t>Мастера 40-44 (09.08.1979)/42</t>
  </si>
  <si>
    <t>Мастера 60-64 (20.06.1957)/64</t>
  </si>
  <si>
    <t>Мастера 45-49 (28.01.1974)/47</t>
  </si>
  <si>
    <t>Мастера 40-44 (14.08.1977)/44</t>
  </si>
  <si>
    <t>Мастера 60-64 (26.08.1960)/61</t>
  </si>
  <si>
    <t>Юниоры 20-23 (18.05.1999)/22</t>
  </si>
  <si>
    <t>Мастера 50-54 (11.06.1970)/51</t>
  </si>
  <si>
    <t>Мастера 50-54 (28.02.1970)/51</t>
  </si>
  <si>
    <t>Мастера 45-49 (16.04.1975)/46</t>
  </si>
  <si>
    <t>Мастера 45-49 (19.01.1973)/48</t>
  </si>
  <si>
    <t>Мастера 55-59 (23.09.1966)/55</t>
  </si>
  <si>
    <t>Мастера 60-64 (29.09.1960)/61</t>
  </si>
  <si>
    <t>Мастера 45-49 (25.05.1973)/48</t>
  </si>
  <si>
    <t>Мастера 60-64 (02.06.1961)/60</t>
  </si>
  <si>
    <t>Мастера 40-44 (07.07.1981)/40</t>
  </si>
  <si>
    <t>Мастера 40-44 (17.04.1981)/40</t>
  </si>
  <si>
    <t>Мастера 40-44 (18.06.1979)/42</t>
  </si>
  <si>
    <t>Мастера 40-44 (15.09.1980)/41</t>
  </si>
  <si>
    <t>Юниоры 20-23 (01.09.1999)/22</t>
  </si>
  <si>
    <t>Мастера 40-44 (02.10.1978)/43</t>
  </si>
  <si>
    <t>Мастера 45-49 (29.01.1973)/48</t>
  </si>
  <si>
    <t>Мастера 45-49 (12.06.1975)/46</t>
  </si>
  <si>
    <t>Юниоры 20-23 (05.07.1999)/22</t>
  </si>
  <si>
    <t>Мастера 50-54 (14.08.1969)/52</t>
  </si>
  <si>
    <t>Мастера 75-79 (29.08.1944)/77</t>
  </si>
  <si>
    <t>Мастера 75-79 (12.03.1945)/76</t>
  </si>
  <si>
    <t>Мастера 40-44 (01.09.1978)/43</t>
  </si>
  <si>
    <t>Мастера 45-49 (08.08.1976)/45</t>
  </si>
  <si>
    <t>Мастера 40-44 (07.08.1981)/40</t>
  </si>
  <si>
    <t>Мастера 45-49 (08.05.1976)/45</t>
  </si>
  <si>
    <t>Мастера 70-74 (01.04.1951)/70</t>
  </si>
  <si>
    <t>Мастера 40-44 (06.06.1978)/43</t>
  </si>
  <si>
    <t>Мастера 45-49 (23.04.1972)/49</t>
  </si>
  <si>
    <t>Мастера 45-49 (08.01.1976)/45</t>
  </si>
  <si>
    <t>Мастера 50-54 (08.06.1969)/52</t>
  </si>
  <si>
    <t>Мастера 55-59 (26.08.1962)/59</t>
  </si>
  <si>
    <t>Мастера 60-64 (27.03.1959)/62</t>
  </si>
  <si>
    <t>Мастера 40-44 (27.02.1980)/41</t>
  </si>
  <si>
    <t>Мастера 50-54 (23.09.1969)/52</t>
  </si>
  <si>
    <t>Мастера 50-54 (16.01.1970)/51</t>
  </si>
  <si>
    <t xml:space="preserve">Мастера 75-79 </t>
  </si>
  <si>
    <t>Юниорки 20-23 (03.02.1998)/23</t>
  </si>
  <si>
    <t>Мастера 40-44 (09.11.1981)/40</t>
  </si>
  <si>
    <t>Мастера 45-49 (23.10.1972)/49</t>
  </si>
  <si>
    <t>Мастера 55-59 (30.05.1963)/58</t>
  </si>
  <si>
    <t>Мастера 45-49 (25.03.1974)/47</t>
  </si>
  <si>
    <t>Мастера 50-54 (12.04.1971)/50</t>
  </si>
  <si>
    <t>Мастера 55-59 (22.03.1964)/57</t>
  </si>
  <si>
    <t>Мастера 60-64 (05.04.1958)/63</t>
  </si>
  <si>
    <t>Мастера 40-44 (08.12.1976)/44</t>
  </si>
  <si>
    <t>Мастера 45-49 (08.11.1975)/46</t>
  </si>
  <si>
    <t>Мастера 45-49 (09.07.1973)/48</t>
  </si>
  <si>
    <t>Мастера 40-44 (15.08.1978)/43</t>
  </si>
  <si>
    <t>Юниорки 20-23 (03.03.2001)/20</t>
  </si>
  <si>
    <t>Юниоры 20-23 (13.01.1999)/22</t>
  </si>
  <si>
    <t>Юниоры 20-23 (11.07.1998)/23</t>
  </si>
  <si>
    <t>Мастера 60-64 (17.10.1961)/60</t>
  </si>
  <si>
    <t>Мастера 70-74 (13.01.1951)/70</t>
  </si>
  <si>
    <t>Мастера 40-44 (03.06.1980)/41</t>
  </si>
  <si>
    <t>Юниорки 20-23 (21.03.1998)/23</t>
  </si>
  <si>
    <t>Мастера 55-59 (29.11.1965)/55</t>
  </si>
  <si>
    <t>Мастера 40-44 (12.11.1980)/41</t>
  </si>
  <si>
    <t>Юниоры 20-23 (15.08.1998)/23</t>
  </si>
  <si>
    <t>Мастера 45-49 (07.07.1975)/46</t>
  </si>
  <si>
    <t>Мастера 45-49 (06.10.1973)/48</t>
  </si>
  <si>
    <t>Юниоры 20-23 (08.11.2000)/21</t>
  </si>
  <si>
    <t>Мастера 40-44 (17.08.1978)/43</t>
  </si>
  <si>
    <t>Мастера 40-44 (12.04.1980)/41</t>
  </si>
  <si>
    <t>Мастера 75-79 (25.07.1946)/75</t>
  </si>
  <si>
    <t>Мастера 40-44 (07.05.1980)/41</t>
  </si>
  <si>
    <t>Мастера 45-49 (07.06.1973)/48</t>
  </si>
  <si>
    <t>Мастера 45-49 (26.09.1976)/45</t>
  </si>
  <si>
    <t>Юниоры 20-23 (23.08.1998)/23</t>
  </si>
  <si>
    <t>Мастера 45-49 (17.06.1976)/45</t>
  </si>
  <si>
    <t>Мастера 50-54 (30.10.1971)/50</t>
  </si>
  <si>
    <t>Кубок мира IPL/СПР
СПР Жим лежа в многопетельной софт экипировке
Долгопрудный/Московская область, 19-21 ноября 2021 года</t>
  </si>
  <si>
    <t>Кубок мира IPL/СПР
СПР Жим лежа в однопетельной софт экипировке ДК
Долгопрудный/Московская область, 19-21 ноября 2021 года</t>
  </si>
  <si>
    <t>Кубок мира IPL/СПР
СПР Жим лежа в однопетельной софт экипировке
Долгопрудный/Московская область, 19-21 ноября 2021 года</t>
  </si>
  <si>
    <t>Кубок мира IPL/СПР
СПР Жим лежа СФО
Долгопрудный/Московская область, 19-21 ноября 2021 года</t>
  </si>
  <si>
    <t>Кубок мира IPL/СПР
СПР Пауэрспорт ДК
Долгопрудный/Московская область, 19-21 ноября 2021 года</t>
  </si>
  <si>
    <t>Кубок мира IPL/СПР
СПР Пауэрспорт
Долгопрудный/Московская область, 19-21 ноября 2021 года</t>
  </si>
  <si>
    <t>Кубок мира IPL/СПР
СПР Строгий подъем штанги на бицепс ДК
Долгопрудный/Московская область, 19-21 ноября 2021 года</t>
  </si>
  <si>
    <t>Кубок мира IPL/СПР
СПР Строгий подъем штанги на бицепс
Долгопрудный/Московская область, 19-21 ноября 2021 года</t>
  </si>
  <si>
    <t>Кубок мира IPL/СПР
СПР Жим штанги стоя ДК
Долгопрудный/Московская область, 19-21 ноября 2021 года</t>
  </si>
  <si>
    <t>Кубок мира IPL/СПР
СПР Жим штанги стоя
Долгопрудный/Московская область, 19-21 ноября 2021 года</t>
  </si>
  <si>
    <t>Поздняков В.</t>
  </si>
  <si>
    <t>Весовая категория</t>
  </si>
  <si>
    <t xml:space="preserve">Исачкин И. </t>
  </si>
  <si>
    <t>Черников О.</t>
  </si>
  <si>
    <t xml:space="preserve">Коломыцев М. </t>
  </si>
  <si>
    <t>Tugral M.</t>
  </si>
  <si>
    <t xml:space="preserve">Васильев А. </t>
  </si>
  <si>
    <t xml:space="preserve">Кучин И. </t>
  </si>
  <si>
    <t xml:space="preserve">Пресняков В. </t>
  </si>
  <si>
    <t xml:space="preserve">Черепнин В. </t>
  </si>
  <si>
    <t xml:space="preserve">Булатов А. </t>
  </si>
  <si>
    <t xml:space="preserve">Янов С. </t>
  </si>
  <si>
    <t>Кубок мира IPL/СПР
IPL Силовое двоеборье без экипировки ДК
Долгопрудный/Московская область, 19-21 ноября 2021 года</t>
  </si>
  <si>
    <t>Кубок мира IPL/СПР
IPL Силовое двоеборье без экипировки
Долгопрудный/Московская область, 19-21 ноября 2021 года</t>
  </si>
  <si>
    <t>Кубок мира IPL/СПР
IPL Присед в бинтах
Долгопрудный/Московская область, 19-21 ноября 2021 года</t>
  </si>
  <si>
    <t>Кубок мира IPL/СПР
IPL Присед без экипировки ДК
Долгопрудный/Московская область, 19-21 ноября 2021 года</t>
  </si>
  <si>
    <t>Кубок мира IPL/СПР
IPL Присед без экипировки
Долгопрудный/Московская область, 19-21 ноября 2021 года</t>
  </si>
  <si>
    <t>Кубок мира IPL/СПР
IPL Становая тяга в однослойной экипировке ДК
Долгопрудный/Московская область, 19-21 ноября 2021 года</t>
  </si>
  <si>
    <t>Кубок мира IPL/СПР
IPL Становая тяга в однослойной экипировке
Долгопрудный/Московская область, 19-21 ноября 2021 года</t>
  </si>
  <si>
    <t>Кубок мира IPL/СПР
IPL Становая тяга без экипировки ДК
Долгопрудный/Московская область, 19-21 ноября 2021 года</t>
  </si>
  <si>
    <t>Кубок мира IPL/СПР
IPL Становая тяга без экипировки
Долгопрудный/Московская область, 19-21 ноября 2021 года</t>
  </si>
  <si>
    <t>Кубок мира IPL/СПР
IPL Жим лежа в многослойной экипировке
Долгопрудный/Московская область, 19-21 ноября 2021 года</t>
  </si>
  <si>
    <t>Кубок мира IPL/СПР
IPL Жим лежа в однослойной экипировке ДК
Долгопрудный/Московская область, 19-21 ноября 2021 года</t>
  </si>
  <si>
    <t>Кубок мира IPL/СПР
IPL Жим лежа в однослойной экипировке
Долгопрудный/Московская область, 19-21 ноября 2021 года</t>
  </si>
  <si>
    <t>Кубок мира IPL/СПР
IPL Жим лежа без экипировки ДК
Долгопрудный/Московская область, 19-21 ноября 2021 года</t>
  </si>
  <si>
    <t>Кубок мира IPL/СПР
IPL Жим лежа без экипировки
Долгопрудный/Московская область, 19-21 ноября 2021 года</t>
  </si>
  <si>
    <t>Кубок мира IPL/СПР
IPL Пауэрлифтинг в бинтах ДК
Долгопрудный/Московская область, 19-21 ноября 2021 года</t>
  </si>
  <si>
    <t>Кубок мира IPL/СПР
IPL Пауэрлифтинг в бинтах
Долгопрудный/Московская область, 19-21 ноября 2021 года</t>
  </si>
  <si>
    <t>Кубок мира IPL/СПР
IPL Пауэрлифтинг без экипировки ДК
Долгопрудный/Московская область, 19-21 ноября 2021 года</t>
  </si>
  <si>
    <t>Кубок мира IPL/СПР
IPL Пауэрлифтинг без экипировки
Долгопрудный/Московская область, 19-21 ноября 2021 года</t>
  </si>
  <si>
    <t>Кубок мира IPL/СПР
IPL Пауэрлифтинг в однослойной экипировке
Долгопрудный/Московская область, 19-21 ноября 2021 года</t>
  </si>
  <si>
    <t xml:space="preserve">Белов А. </t>
  </si>
  <si>
    <t xml:space="preserve">Федоренко А. </t>
  </si>
  <si>
    <t xml:space="preserve">Kolofotias G. </t>
  </si>
  <si>
    <t xml:space="preserve">Шишов А. </t>
  </si>
  <si>
    <t xml:space="preserve">Бубнов Д. </t>
  </si>
  <si>
    <t>Шишлянников Д., Палей А.</t>
  </si>
  <si>
    <t xml:space="preserve">Алышев Н. </t>
  </si>
  <si>
    <t xml:space="preserve">Абросимов Т. </t>
  </si>
  <si>
    <t xml:space="preserve">Квитко Б. </t>
  </si>
  <si>
    <t xml:space="preserve">Сенькин Д. </t>
  </si>
  <si>
    <t xml:space="preserve">Паринов И. </t>
  </si>
  <si>
    <t xml:space="preserve">Tugral C. </t>
  </si>
  <si>
    <t xml:space="preserve">Румянцев С. </t>
  </si>
  <si>
    <t>Gnabro Kokolou Elisee</t>
  </si>
  <si>
    <t>CIV/Абиджан</t>
  </si>
  <si>
    <t xml:space="preserve">Карпов И. </t>
  </si>
  <si>
    <t xml:space="preserve">Шишлянников Д. </t>
  </si>
  <si>
    <t xml:space="preserve">Парфенов А. </t>
  </si>
  <si>
    <t xml:space="preserve">Пезиков И. </t>
  </si>
  <si>
    <t>Kolofotias G.</t>
  </si>
  <si>
    <t xml:space="preserve">Холодный С. </t>
  </si>
  <si>
    <t xml:space="preserve">Сукиасян Т. </t>
  </si>
  <si>
    <t>№</t>
  </si>
  <si>
    <t xml:space="preserve">Ярославль </t>
  </si>
  <si>
    <t xml:space="preserve">Тейково </t>
  </si>
  <si>
    <t xml:space="preserve">Орёл </t>
  </si>
  <si>
    <t xml:space="preserve">Москва </t>
  </si>
  <si>
    <t xml:space="preserve">Зеленоград </t>
  </si>
  <si>
    <t xml:space="preserve">Пермь </t>
  </si>
  <si>
    <t xml:space="preserve">Норильск </t>
  </si>
  <si>
    <t xml:space="preserve">Арзамас </t>
  </si>
  <si>
    <t xml:space="preserve">Краснодар </t>
  </si>
  <si>
    <t xml:space="preserve">Солнечногорск </t>
  </si>
  <si>
    <t xml:space="preserve">Серпухов </t>
  </si>
  <si>
    <t xml:space="preserve">Меленки </t>
  </si>
  <si>
    <t xml:space="preserve">Химки </t>
  </si>
  <si>
    <t xml:space="preserve">Пушкино </t>
  </si>
  <si>
    <t xml:space="preserve">Нижний Новгород </t>
  </si>
  <si>
    <t xml:space="preserve">Иваново </t>
  </si>
  <si>
    <t xml:space="preserve">Сухой Лог </t>
  </si>
  <si>
    <t xml:space="preserve">Кубинка </t>
  </si>
  <si>
    <t xml:space="preserve">Реутов </t>
  </si>
  <si>
    <t xml:space="preserve">Рязань </t>
  </si>
  <si>
    <t xml:space="preserve">Лобня </t>
  </si>
  <si>
    <t xml:space="preserve">Краснозаводск </t>
  </si>
  <si>
    <t xml:space="preserve">Кольчугино </t>
  </si>
  <si>
    <t xml:space="preserve">Собинка </t>
  </si>
  <si>
    <t xml:space="preserve">Жуковский </t>
  </si>
  <si>
    <t xml:space="preserve">Истра </t>
  </si>
  <si>
    <t xml:space="preserve">Бологое </t>
  </si>
  <si>
    <t xml:space="preserve">Подольск </t>
  </si>
  <si>
    <t xml:space="preserve">Тула </t>
  </si>
  <si>
    <t xml:space="preserve">Приозерск </t>
  </si>
  <si>
    <t xml:space="preserve">Торжок </t>
  </si>
  <si>
    <t xml:space="preserve">Красноярск </t>
  </si>
  <si>
    <t xml:space="preserve">Владимир </t>
  </si>
  <si>
    <t xml:space="preserve">Фряново </t>
  </si>
  <si>
    <t xml:space="preserve">Дубна </t>
  </si>
  <si>
    <t xml:space="preserve">Стерлитамак </t>
  </si>
  <si>
    <t xml:space="preserve">Раменское </t>
  </si>
  <si>
    <t xml:space="preserve">Переславль-Залесский </t>
  </si>
  <si>
    <t xml:space="preserve">Долгопрудный </t>
  </si>
  <si>
    <t xml:space="preserve">Дмитров </t>
  </si>
  <si>
    <t xml:space="preserve">Тверь </t>
  </si>
  <si>
    <t xml:space="preserve">Киреевск </t>
  </si>
  <si>
    <t xml:space="preserve">Вязники </t>
  </si>
  <si>
    <t xml:space="preserve">Белоозёрский </t>
  </si>
  <si>
    <t xml:space="preserve">Егорьевск </t>
  </si>
  <si>
    <t xml:space="preserve">Геленджик </t>
  </si>
  <si>
    <t xml:space="preserve">Сочи </t>
  </si>
  <si>
    <t xml:space="preserve">Щёкино </t>
  </si>
  <si>
    <t xml:space="preserve">Сыктывкар </t>
  </si>
  <si>
    <t xml:space="preserve">Таганрог </t>
  </si>
  <si>
    <t xml:space="preserve">Мурманск </t>
  </si>
  <si>
    <t xml:space="preserve">Щёлково </t>
  </si>
  <si>
    <t xml:space="preserve">Одинцово </t>
  </si>
  <si>
    <t xml:space="preserve">Самара </t>
  </si>
  <si>
    <t xml:space="preserve">Воскресенск </t>
  </si>
  <si>
    <t xml:space="preserve">Якутск </t>
  </si>
  <si>
    <t xml:space="preserve">Балашиха </t>
  </si>
  <si>
    <t xml:space="preserve">Владивосток </t>
  </si>
  <si>
    <t xml:space="preserve">Саров </t>
  </si>
  <si>
    <t xml:space="preserve">Железнодорожный </t>
  </si>
  <si>
    <t xml:space="preserve">Красногорск </t>
  </si>
  <si>
    <t xml:space="preserve">Калининград </t>
  </si>
  <si>
    <t xml:space="preserve">Нахабино </t>
  </si>
  <si>
    <t xml:space="preserve">Углич </t>
  </si>
  <si>
    <t xml:space="preserve">Уфа </t>
  </si>
  <si>
    <t xml:space="preserve">Сызрань </t>
  </si>
  <si>
    <t xml:space="preserve">Рузаевка </t>
  </si>
  <si>
    <t xml:space="preserve">Можайск </t>
  </si>
  <si>
    <t xml:space="preserve">Чебоксары </t>
  </si>
  <si>
    <t xml:space="preserve">Липецк </t>
  </si>
  <si>
    <t xml:space="preserve">Санкт-Петербург </t>
  </si>
  <si>
    <t xml:space="preserve">Богородск </t>
  </si>
  <si>
    <t xml:space="preserve">Армавир </t>
  </si>
  <si>
    <t xml:space="preserve">Выборг </t>
  </si>
  <si>
    <t xml:space="preserve">Новосибирск </t>
  </si>
  <si>
    <t xml:space="preserve">Росляково </t>
  </si>
  <si>
    <t xml:space="preserve">Великие Луки </t>
  </si>
  <si>
    <t xml:space="preserve">Новокуйбышевск </t>
  </si>
  <si>
    <t xml:space="preserve">Рассказово </t>
  </si>
  <si>
    <t xml:space="preserve">Екатеринбург </t>
  </si>
  <si>
    <t xml:space="preserve">Люберцы </t>
  </si>
  <si>
    <t xml:space="preserve">Сергиев Посад </t>
  </si>
  <si>
    <t xml:space="preserve">Костерёво </t>
  </si>
  <si>
    <t xml:space="preserve">Родники </t>
  </si>
  <si>
    <t xml:space="preserve">Вичуга </t>
  </si>
  <si>
    <t xml:space="preserve">Электросталь </t>
  </si>
  <si>
    <t xml:space="preserve">Кохма </t>
  </si>
  <si>
    <t xml:space="preserve">Брянск </t>
  </si>
  <si>
    <t xml:space="preserve">Астрахань </t>
  </si>
  <si>
    <t xml:space="preserve">Кострома </t>
  </si>
  <si>
    <t xml:space="preserve">Радужный </t>
  </si>
  <si>
    <t xml:space="preserve">Санкт Петербург </t>
  </si>
  <si>
    <t xml:space="preserve">Ясногорск </t>
  </si>
  <si>
    <t xml:space="preserve">Михнево </t>
  </si>
  <si>
    <t xml:space="preserve">Олонец </t>
  </si>
  <si>
    <t xml:space="preserve">Узловая </t>
  </si>
  <si>
    <t xml:space="preserve">Иркутск </t>
  </si>
  <si>
    <t xml:space="preserve">Апрелевка </t>
  </si>
  <si>
    <t xml:space="preserve">Александров </t>
  </si>
  <si>
    <t xml:space="preserve">Курск </t>
  </si>
  <si>
    <t xml:space="preserve">Красково </t>
  </si>
  <si>
    <t xml:space="preserve">Владикавказ </t>
  </si>
  <si>
    <t xml:space="preserve">Волгоград </t>
  </si>
  <si>
    <t>Жим</t>
  </si>
  <si>
    <t>Тяга</t>
  </si>
  <si>
    <t xml:space="preserve">Тяга </t>
  </si>
  <si>
    <t xml:space="preserve">
Дата рождения/Возраст</t>
  </si>
  <si>
    <t>Возрастная группа</t>
  </si>
  <si>
    <t>T</t>
  </si>
  <si>
    <t>O</t>
  </si>
  <si>
    <t>M2</t>
  </si>
  <si>
    <t>M1</t>
  </si>
  <si>
    <t>J</t>
  </si>
  <si>
    <t>M4</t>
  </si>
  <si>
    <t>M6</t>
  </si>
  <si>
    <t>M8</t>
  </si>
  <si>
    <t>M5</t>
  </si>
  <si>
    <t>M7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</si>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</sst>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U124"/>
  <sheetViews>
    <sheetView workbookViewId="0">
      <selection activeCell="E102" sqref="E102"/>
    </sheetView>
  </sheetViews>
  <sheetFormatPr baseColWidth="10" defaultColWidth="9.1640625" defaultRowHeight="13"/>
  <cols>
    <col min="1" max="1" width="7.5" style="5" bestFit="1" customWidth="1"/>
    <col min="2" max="2" width="23.8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3" width="5.5" style="6" customWidth="1"/>
    <col min="14" max="14" width="4.83203125" style="6" customWidth="1"/>
    <col min="15" max="18" width="5.5" style="6" customWidth="1"/>
    <col min="19" max="19" width="7.83203125" style="28" bestFit="1" customWidth="1"/>
    <col min="20" max="20" width="8.5" style="6" bestFit="1" customWidth="1"/>
    <col min="21" max="21" width="33.5" style="5" bestFit="1" customWidth="1"/>
    <col min="22" max="16384" width="9.1640625" style="3"/>
  </cols>
  <sheetData>
    <row r="1" spans="1:21" s="2" customFormat="1" ht="29" customHeight="1">
      <c r="A1" s="44" t="s">
        <v>1374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6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9"/>
      <c r="U4" s="41"/>
    </row>
    <row r="5" spans="1:21" ht="16">
      <c r="A5" s="42" t="s">
        <v>192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17" t="s">
        <v>29</v>
      </c>
      <c r="B6" s="16" t="s">
        <v>193</v>
      </c>
      <c r="C6" s="16" t="s">
        <v>194</v>
      </c>
      <c r="D6" s="16" t="s">
        <v>195</v>
      </c>
      <c r="E6" s="16" t="s">
        <v>1508</v>
      </c>
      <c r="F6" s="16" t="s">
        <v>1400</v>
      </c>
      <c r="G6" s="22" t="s">
        <v>50</v>
      </c>
      <c r="H6" s="22" t="s">
        <v>51</v>
      </c>
      <c r="I6" s="23" t="s">
        <v>59</v>
      </c>
      <c r="J6" s="17"/>
      <c r="K6" s="22" t="s">
        <v>196</v>
      </c>
      <c r="L6" s="23" t="s">
        <v>197</v>
      </c>
      <c r="M6" s="23" t="s">
        <v>197</v>
      </c>
      <c r="N6" s="17"/>
      <c r="O6" s="22" t="s">
        <v>49</v>
      </c>
      <c r="P6" s="22" t="s">
        <v>35</v>
      </c>
      <c r="Q6" s="23" t="s">
        <v>198</v>
      </c>
      <c r="R6" s="17"/>
      <c r="S6" s="29" t="str">
        <f>"222,5"</f>
        <v>222,5</v>
      </c>
      <c r="T6" s="17" t="str">
        <f>"317,5742"</f>
        <v>317,5742</v>
      </c>
      <c r="U6" s="16" t="s">
        <v>1392</v>
      </c>
    </row>
    <row r="7" spans="1:21">
      <c r="A7" s="21" t="s">
        <v>29</v>
      </c>
      <c r="B7" s="20" t="s">
        <v>199</v>
      </c>
      <c r="C7" s="20" t="s">
        <v>200</v>
      </c>
      <c r="D7" s="20" t="s">
        <v>201</v>
      </c>
      <c r="E7" s="20" t="s">
        <v>1509</v>
      </c>
      <c r="F7" s="20" t="s">
        <v>202</v>
      </c>
      <c r="G7" s="26" t="s">
        <v>171</v>
      </c>
      <c r="H7" s="26" t="s">
        <v>50</v>
      </c>
      <c r="I7" s="27" t="s">
        <v>51</v>
      </c>
      <c r="J7" s="21"/>
      <c r="K7" s="27" t="s">
        <v>203</v>
      </c>
      <c r="L7" s="26" t="s">
        <v>203</v>
      </c>
      <c r="M7" s="26" t="s">
        <v>39</v>
      </c>
      <c r="N7" s="21"/>
      <c r="O7" s="27" t="s">
        <v>204</v>
      </c>
      <c r="P7" s="26" t="s">
        <v>204</v>
      </c>
      <c r="Q7" s="26" t="s">
        <v>49</v>
      </c>
      <c r="R7" s="21"/>
      <c r="S7" s="32" t="str">
        <f>"235,0"</f>
        <v>235,0</v>
      </c>
      <c r="T7" s="21" t="str">
        <f>"345,4970"</f>
        <v>345,4970</v>
      </c>
      <c r="U7" s="20" t="s">
        <v>315</v>
      </c>
    </row>
    <row r="8" spans="1:21">
      <c r="A8" s="19" t="s">
        <v>189</v>
      </c>
      <c r="B8" s="18" t="s">
        <v>193</v>
      </c>
      <c r="C8" s="18" t="s">
        <v>205</v>
      </c>
      <c r="D8" s="18" t="s">
        <v>195</v>
      </c>
      <c r="E8" s="18" t="s">
        <v>1509</v>
      </c>
      <c r="F8" s="18" t="s">
        <v>1400</v>
      </c>
      <c r="G8" s="24" t="s">
        <v>50</v>
      </c>
      <c r="H8" s="24" t="s">
        <v>51</v>
      </c>
      <c r="I8" s="25" t="s">
        <v>59</v>
      </c>
      <c r="J8" s="19"/>
      <c r="K8" s="24" t="s">
        <v>196</v>
      </c>
      <c r="L8" s="25" t="s">
        <v>197</v>
      </c>
      <c r="M8" s="25" t="s">
        <v>197</v>
      </c>
      <c r="N8" s="19"/>
      <c r="O8" s="24" t="s">
        <v>49</v>
      </c>
      <c r="P8" s="24" t="s">
        <v>35</v>
      </c>
      <c r="Q8" s="25" t="s">
        <v>198</v>
      </c>
      <c r="R8" s="19"/>
      <c r="S8" s="30" t="str">
        <f>"222,5"</f>
        <v>222,5</v>
      </c>
      <c r="T8" s="19" t="str">
        <f>"317,5742"</f>
        <v>317,5742</v>
      </c>
      <c r="U8" s="18" t="s">
        <v>1392</v>
      </c>
    </row>
    <row r="9" spans="1:21">
      <c r="B9" s="5" t="s">
        <v>30</v>
      </c>
    </row>
    <row r="10" spans="1:21" ht="16">
      <c r="A10" s="33" t="s">
        <v>206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21">
      <c r="A11" s="17" t="s">
        <v>29</v>
      </c>
      <c r="B11" s="16" t="s">
        <v>207</v>
      </c>
      <c r="C11" s="16" t="s">
        <v>208</v>
      </c>
      <c r="D11" s="16" t="s">
        <v>209</v>
      </c>
      <c r="E11" s="16" t="s">
        <v>1509</v>
      </c>
      <c r="F11" s="16" t="s">
        <v>1401</v>
      </c>
      <c r="G11" s="22" t="s">
        <v>204</v>
      </c>
      <c r="H11" s="22" t="s">
        <v>49</v>
      </c>
      <c r="I11" s="23" t="s">
        <v>210</v>
      </c>
      <c r="J11" s="17"/>
      <c r="K11" s="22" t="s">
        <v>211</v>
      </c>
      <c r="L11" s="22" t="s">
        <v>212</v>
      </c>
      <c r="M11" s="22" t="s">
        <v>38</v>
      </c>
      <c r="N11" s="17"/>
      <c r="O11" s="22" t="s">
        <v>213</v>
      </c>
      <c r="P11" s="22" t="s">
        <v>58</v>
      </c>
      <c r="Q11" s="23" t="s">
        <v>214</v>
      </c>
      <c r="R11" s="17"/>
      <c r="S11" s="29" t="str">
        <f>"277,5"</f>
        <v>277,5</v>
      </c>
      <c r="T11" s="17" t="str">
        <f>"373,2098"</f>
        <v>373,2098</v>
      </c>
      <c r="U11" s="16" t="s">
        <v>315</v>
      </c>
    </row>
    <row r="12" spans="1:21">
      <c r="A12" s="21" t="s">
        <v>189</v>
      </c>
      <c r="B12" s="20" t="s">
        <v>215</v>
      </c>
      <c r="C12" s="20" t="s">
        <v>216</v>
      </c>
      <c r="D12" s="20" t="s">
        <v>217</v>
      </c>
      <c r="E12" s="20" t="s">
        <v>1509</v>
      </c>
      <c r="F12" s="20" t="s">
        <v>1402</v>
      </c>
      <c r="G12" s="26" t="s">
        <v>204</v>
      </c>
      <c r="H12" s="26" t="s">
        <v>49</v>
      </c>
      <c r="I12" s="26" t="s">
        <v>35</v>
      </c>
      <c r="J12" s="21"/>
      <c r="K12" s="27" t="s">
        <v>218</v>
      </c>
      <c r="L12" s="26" t="s">
        <v>218</v>
      </c>
      <c r="M12" s="26" t="s">
        <v>219</v>
      </c>
      <c r="N12" s="21"/>
      <c r="O12" s="26" t="s">
        <v>220</v>
      </c>
      <c r="P12" s="26" t="s">
        <v>49</v>
      </c>
      <c r="Q12" s="26" t="s">
        <v>35</v>
      </c>
      <c r="R12" s="21"/>
      <c r="S12" s="32" t="str">
        <f>"252,5"</f>
        <v>252,5</v>
      </c>
      <c r="T12" s="21" t="str">
        <f>"336,9865"</f>
        <v>336,9865</v>
      </c>
      <c r="U12" s="20" t="s">
        <v>623</v>
      </c>
    </row>
    <row r="13" spans="1:21">
      <c r="A13" s="19" t="s">
        <v>29</v>
      </c>
      <c r="B13" s="18" t="s">
        <v>221</v>
      </c>
      <c r="C13" s="18" t="s">
        <v>1254</v>
      </c>
      <c r="D13" s="18" t="s">
        <v>222</v>
      </c>
      <c r="E13" s="18" t="s">
        <v>1510</v>
      </c>
      <c r="F13" s="18" t="s">
        <v>1403</v>
      </c>
      <c r="G13" s="24" t="s">
        <v>171</v>
      </c>
      <c r="H13" s="24" t="s">
        <v>50</v>
      </c>
      <c r="I13" s="24" t="s">
        <v>51</v>
      </c>
      <c r="J13" s="19"/>
      <c r="K13" s="24" t="s">
        <v>197</v>
      </c>
      <c r="L13" s="24" t="s">
        <v>223</v>
      </c>
      <c r="M13" s="25" t="s">
        <v>218</v>
      </c>
      <c r="N13" s="19"/>
      <c r="O13" s="25" t="s">
        <v>35</v>
      </c>
      <c r="P13" s="24" t="s">
        <v>36</v>
      </c>
      <c r="Q13" s="24" t="s">
        <v>224</v>
      </c>
      <c r="R13" s="19"/>
      <c r="S13" s="30" t="str">
        <f>"240,0"</f>
        <v>240,0</v>
      </c>
      <c r="T13" s="19" t="str">
        <f>"337,4616"</f>
        <v>337,4616</v>
      </c>
      <c r="U13" s="18" t="s">
        <v>225</v>
      </c>
    </row>
    <row r="14" spans="1:21">
      <c r="B14" s="5" t="s">
        <v>30</v>
      </c>
    </row>
    <row r="15" spans="1:21" ht="16">
      <c r="A15" s="33" t="s">
        <v>226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17" t="s">
        <v>29</v>
      </c>
      <c r="B16" s="16" t="s">
        <v>227</v>
      </c>
      <c r="C16" s="16" t="s">
        <v>228</v>
      </c>
      <c r="D16" s="16" t="s">
        <v>229</v>
      </c>
      <c r="E16" s="16" t="s">
        <v>1509</v>
      </c>
      <c r="F16" s="16" t="s">
        <v>1404</v>
      </c>
      <c r="G16" s="22" t="s">
        <v>213</v>
      </c>
      <c r="H16" s="23" t="s">
        <v>58</v>
      </c>
      <c r="I16" s="22" t="s">
        <v>230</v>
      </c>
      <c r="J16" s="17"/>
      <c r="K16" s="22" t="s">
        <v>231</v>
      </c>
      <c r="L16" s="22" t="s">
        <v>40</v>
      </c>
      <c r="M16" s="23" t="s">
        <v>171</v>
      </c>
      <c r="N16" s="17"/>
      <c r="O16" s="22" t="s">
        <v>119</v>
      </c>
      <c r="P16" s="23" t="s">
        <v>63</v>
      </c>
      <c r="Q16" s="23" t="s">
        <v>63</v>
      </c>
      <c r="R16" s="17"/>
      <c r="S16" s="29" t="str">
        <f>"345,0"</f>
        <v>345,0</v>
      </c>
      <c r="T16" s="17" t="str">
        <f>"438,5295"</f>
        <v>438,5295</v>
      </c>
      <c r="U16" s="16" t="s">
        <v>232</v>
      </c>
    </row>
    <row r="17" spans="1:21">
      <c r="A17" s="21" t="s">
        <v>189</v>
      </c>
      <c r="B17" s="20" t="s">
        <v>233</v>
      </c>
      <c r="C17" s="20" t="s">
        <v>234</v>
      </c>
      <c r="D17" s="20" t="s">
        <v>235</v>
      </c>
      <c r="E17" s="20" t="s">
        <v>1509</v>
      </c>
      <c r="F17" s="20" t="s">
        <v>1405</v>
      </c>
      <c r="G17" s="26" t="s">
        <v>37</v>
      </c>
      <c r="H17" s="27" t="s">
        <v>224</v>
      </c>
      <c r="I17" s="27" t="s">
        <v>224</v>
      </c>
      <c r="J17" s="21"/>
      <c r="K17" s="26" t="s">
        <v>236</v>
      </c>
      <c r="L17" s="26" t="s">
        <v>212</v>
      </c>
      <c r="M17" s="26" t="s">
        <v>38</v>
      </c>
      <c r="N17" s="21"/>
      <c r="O17" s="26" t="s">
        <v>213</v>
      </c>
      <c r="P17" s="26" t="s">
        <v>58</v>
      </c>
      <c r="Q17" s="27" t="s">
        <v>214</v>
      </c>
      <c r="R17" s="21"/>
      <c r="S17" s="32" t="str">
        <f>"292,5"</f>
        <v>292,5</v>
      </c>
      <c r="T17" s="21" t="str">
        <f>"365,1862"</f>
        <v>365,1862</v>
      </c>
      <c r="U17" s="20" t="s">
        <v>232</v>
      </c>
    </row>
    <row r="18" spans="1:21">
      <c r="A18" s="21" t="s">
        <v>190</v>
      </c>
      <c r="B18" s="20" t="s">
        <v>237</v>
      </c>
      <c r="C18" s="20" t="s">
        <v>238</v>
      </c>
      <c r="D18" s="20" t="s">
        <v>239</v>
      </c>
      <c r="E18" s="20" t="s">
        <v>1509</v>
      </c>
      <c r="F18" s="20" t="s">
        <v>1406</v>
      </c>
      <c r="G18" s="27" t="s">
        <v>36</v>
      </c>
      <c r="H18" s="26" t="s">
        <v>36</v>
      </c>
      <c r="I18" s="26" t="s">
        <v>75</v>
      </c>
      <c r="J18" s="21"/>
      <c r="K18" s="26" t="s">
        <v>223</v>
      </c>
      <c r="L18" s="27" t="s">
        <v>219</v>
      </c>
      <c r="M18" s="27" t="s">
        <v>219</v>
      </c>
      <c r="N18" s="21"/>
      <c r="O18" s="26" t="s">
        <v>37</v>
      </c>
      <c r="P18" s="26" t="s">
        <v>240</v>
      </c>
      <c r="Q18" s="26" t="s">
        <v>214</v>
      </c>
      <c r="R18" s="21"/>
      <c r="S18" s="32" t="str">
        <f>"280,0"</f>
        <v>280,0</v>
      </c>
      <c r="T18" s="21" t="str">
        <f>"353,2480"</f>
        <v>353,2480</v>
      </c>
      <c r="U18" s="20" t="s">
        <v>1356</v>
      </c>
    </row>
    <row r="19" spans="1:21">
      <c r="A19" s="21" t="s">
        <v>437</v>
      </c>
      <c r="B19" s="20" t="s">
        <v>241</v>
      </c>
      <c r="C19" s="20" t="s">
        <v>242</v>
      </c>
      <c r="D19" s="20" t="s">
        <v>243</v>
      </c>
      <c r="E19" s="20" t="s">
        <v>1509</v>
      </c>
      <c r="F19" s="20" t="s">
        <v>1403</v>
      </c>
      <c r="G19" s="26" t="s">
        <v>218</v>
      </c>
      <c r="H19" s="26" t="s">
        <v>212</v>
      </c>
      <c r="I19" s="27" t="s">
        <v>39</v>
      </c>
      <c r="J19" s="21"/>
      <c r="K19" s="26" t="s">
        <v>244</v>
      </c>
      <c r="L19" s="26" t="s">
        <v>197</v>
      </c>
      <c r="M19" s="27" t="s">
        <v>223</v>
      </c>
      <c r="N19" s="21"/>
      <c r="O19" s="26" t="s">
        <v>171</v>
      </c>
      <c r="P19" s="26" t="s">
        <v>245</v>
      </c>
      <c r="Q19" s="27" t="s">
        <v>52</v>
      </c>
      <c r="R19" s="21"/>
      <c r="S19" s="32" t="str">
        <f>"182,5"</f>
        <v>182,5</v>
      </c>
      <c r="T19" s="21" t="str">
        <f>"232,6875"</f>
        <v>232,6875</v>
      </c>
      <c r="U19" s="20" t="s">
        <v>1393</v>
      </c>
    </row>
    <row r="20" spans="1:21">
      <c r="A20" s="21" t="s">
        <v>191</v>
      </c>
      <c r="B20" s="20" t="s">
        <v>246</v>
      </c>
      <c r="C20" s="20" t="s">
        <v>247</v>
      </c>
      <c r="D20" s="20" t="s">
        <v>248</v>
      </c>
      <c r="E20" s="20" t="s">
        <v>1509</v>
      </c>
      <c r="F20" s="20" t="s">
        <v>1407</v>
      </c>
      <c r="G20" s="27" t="s">
        <v>39</v>
      </c>
      <c r="H20" s="26" t="s">
        <v>39</v>
      </c>
      <c r="I20" s="26" t="s">
        <v>171</v>
      </c>
      <c r="J20" s="21"/>
      <c r="K20" s="27" t="s">
        <v>219</v>
      </c>
      <c r="L20" s="27" t="s">
        <v>219</v>
      </c>
      <c r="M20" s="27" t="s">
        <v>219</v>
      </c>
      <c r="N20" s="21"/>
      <c r="O20" s="27"/>
      <c r="P20" s="21"/>
      <c r="Q20" s="21"/>
      <c r="R20" s="21"/>
      <c r="S20" s="32">
        <v>0</v>
      </c>
      <c r="T20" s="21" t="str">
        <f>"0,0000"</f>
        <v>0,0000</v>
      </c>
      <c r="U20" s="20" t="s">
        <v>249</v>
      </c>
    </row>
    <row r="21" spans="1:21">
      <c r="A21" s="19" t="s">
        <v>29</v>
      </c>
      <c r="B21" s="18" t="s">
        <v>237</v>
      </c>
      <c r="C21" s="18" t="s">
        <v>1319</v>
      </c>
      <c r="D21" s="18" t="s">
        <v>239</v>
      </c>
      <c r="E21" s="18" t="s">
        <v>1511</v>
      </c>
      <c r="F21" s="18" t="s">
        <v>1406</v>
      </c>
      <c r="G21" s="25" t="s">
        <v>36</v>
      </c>
      <c r="H21" s="24" t="s">
        <v>36</v>
      </c>
      <c r="I21" s="24" t="s">
        <v>75</v>
      </c>
      <c r="J21" s="19"/>
      <c r="K21" s="24" t="s">
        <v>223</v>
      </c>
      <c r="L21" s="25" t="s">
        <v>219</v>
      </c>
      <c r="M21" s="25" t="s">
        <v>219</v>
      </c>
      <c r="N21" s="19"/>
      <c r="O21" s="24" t="s">
        <v>37</v>
      </c>
      <c r="P21" s="24" t="s">
        <v>240</v>
      </c>
      <c r="Q21" s="24" t="s">
        <v>214</v>
      </c>
      <c r="R21" s="19"/>
      <c r="S21" s="30" t="str">
        <f>"280,0"</f>
        <v>280,0</v>
      </c>
      <c r="T21" s="19" t="str">
        <f>"355,0142"</f>
        <v>355,0142</v>
      </c>
      <c r="U21" s="18" t="s">
        <v>1356</v>
      </c>
    </row>
    <row r="22" spans="1:21">
      <c r="B22" s="5" t="s">
        <v>30</v>
      </c>
    </row>
    <row r="23" spans="1:21" ht="16">
      <c r="A23" s="33" t="s">
        <v>31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21">
      <c r="A24" s="17" t="s">
        <v>29</v>
      </c>
      <c r="B24" s="16" t="s">
        <v>250</v>
      </c>
      <c r="C24" s="16" t="s">
        <v>1251</v>
      </c>
      <c r="D24" s="16" t="s">
        <v>251</v>
      </c>
      <c r="E24" s="16" t="s">
        <v>1512</v>
      </c>
      <c r="F24" s="16" t="s">
        <v>1402</v>
      </c>
      <c r="G24" s="23" t="s">
        <v>36</v>
      </c>
      <c r="H24" s="22" t="s">
        <v>36</v>
      </c>
      <c r="I24" s="23" t="s">
        <v>224</v>
      </c>
      <c r="J24" s="17"/>
      <c r="K24" s="23" t="s">
        <v>197</v>
      </c>
      <c r="L24" s="22" t="s">
        <v>197</v>
      </c>
      <c r="M24" s="23" t="s">
        <v>223</v>
      </c>
      <c r="N24" s="17"/>
      <c r="O24" s="22" t="s">
        <v>252</v>
      </c>
      <c r="P24" s="22" t="s">
        <v>36</v>
      </c>
      <c r="Q24" s="22" t="s">
        <v>37</v>
      </c>
      <c r="R24" s="17"/>
      <c r="S24" s="29" t="str">
        <f>"260,0"</f>
        <v>260,0</v>
      </c>
      <c r="T24" s="17" t="str">
        <f>"306,7740"</f>
        <v>306,7740</v>
      </c>
      <c r="U24" s="16" t="s">
        <v>253</v>
      </c>
    </row>
    <row r="25" spans="1:21">
      <c r="A25" s="21" t="s">
        <v>29</v>
      </c>
      <c r="B25" s="20" t="s">
        <v>254</v>
      </c>
      <c r="C25" s="20" t="s">
        <v>255</v>
      </c>
      <c r="D25" s="20" t="s">
        <v>34</v>
      </c>
      <c r="E25" s="20" t="s">
        <v>1509</v>
      </c>
      <c r="F25" s="20" t="s">
        <v>1408</v>
      </c>
      <c r="G25" s="26" t="s">
        <v>252</v>
      </c>
      <c r="H25" s="26" t="s">
        <v>210</v>
      </c>
      <c r="I25" s="27" t="s">
        <v>198</v>
      </c>
      <c r="J25" s="21"/>
      <c r="K25" s="26" t="s">
        <v>211</v>
      </c>
      <c r="L25" s="27" t="s">
        <v>212</v>
      </c>
      <c r="M25" s="27" t="s">
        <v>212</v>
      </c>
      <c r="N25" s="21"/>
      <c r="O25" s="26" t="s">
        <v>252</v>
      </c>
      <c r="P25" s="26" t="s">
        <v>210</v>
      </c>
      <c r="Q25" s="26" t="s">
        <v>198</v>
      </c>
      <c r="R25" s="21"/>
      <c r="S25" s="32" t="str">
        <f>"255,0"</f>
        <v>255,0</v>
      </c>
      <c r="T25" s="21" t="str">
        <f>"300,4665"</f>
        <v>300,4665</v>
      </c>
      <c r="U25" s="20" t="s">
        <v>256</v>
      </c>
    </row>
    <row r="26" spans="1:21">
      <c r="A26" s="21" t="s">
        <v>189</v>
      </c>
      <c r="B26" s="20" t="s">
        <v>257</v>
      </c>
      <c r="C26" s="20" t="s">
        <v>258</v>
      </c>
      <c r="D26" s="20" t="s">
        <v>259</v>
      </c>
      <c r="E26" s="20" t="s">
        <v>1509</v>
      </c>
      <c r="F26" s="20" t="s">
        <v>1403</v>
      </c>
      <c r="G26" s="27" t="s">
        <v>51</v>
      </c>
      <c r="H26" s="26" t="s">
        <v>51</v>
      </c>
      <c r="I26" s="27" t="s">
        <v>204</v>
      </c>
      <c r="J26" s="21"/>
      <c r="K26" s="26" t="s">
        <v>218</v>
      </c>
      <c r="L26" s="27" t="s">
        <v>211</v>
      </c>
      <c r="M26" s="27" t="s">
        <v>211</v>
      </c>
      <c r="N26" s="21"/>
      <c r="O26" s="27" t="s">
        <v>37</v>
      </c>
      <c r="P26" s="26" t="s">
        <v>213</v>
      </c>
      <c r="Q26" s="27" t="s">
        <v>214</v>
      </c>
      <c r="R26" s="21"/>
      <c r="S26" s="32" t="str">
        <f>"245,0"</f>
        <v>245,0</v>
      </c>
      <c r="T26" s="21" t="str">
        <f>"289,8840"</f>
        <v>289,8840</v>
      </c>
      <c r="U26" s="20" t="s">
        <v>1377</v>
      </c>
    </row>
    <row r="27" spans="1:21">
      <c r="A27" s="21" t="s">
        <v>190</v>
      </c>
      <c r="B27" s="20" t="s">
        <v>260</v>
      </c>
      <c r="C27" s="20" t="s">
        <v>261</v>
      </c>
      <c r="D27" s="20" t="s">
        <v>262</v>
      </c>
      <c r="E27" s="20" t="s">
        <v>1509</v>
      </c>
      <c r="F27" s="20" t="s">
        <v>1403</v>
      </c>
      <c r="G27" s="26" t="s">
        <v>50</v>
      </c>
      <c r="H27" s="27" t="s">
        <v>51</v>
      </c>
      <c r="I27" s="27" t="s">
        <v>59</v>
      </c>
      <c r="J27" s="21"/>
      <c r="K27" s="26" t="s">
        <v>263</v>
      </c>
      <c r="L27" s="26" t="s">
        <v>264</v>
      </c>
      <c r="M27" s="27" t="s">
        <v>244</v>
      </c>
      <c r="N27" s="21"/>
      <c r="O27" s="26" t="s">
        <v>35</v>
      </c>
      <c r="P27" s="26" t="s">
        <v>37</v>
      </c>
      <c r="Q27" s="26" t="s">
        <v>240</v>
      </c>
      <c r="R27" s="21"/>
      <c r="S27" s="32" t="str">
        <f>"230,0"</f>
        <v>230,0</v>
      </c>
      <c r="T27" s="21" t="str">
        <f>"274,4590"</f>
        <v>274,4590</v>
      </c>
      <c r="U27" s="20" t="s">
        <v>1394</v>
      </c>
    </row>
    <row r="28" spans="1:21">
      <c r="A28" s="19" t="s">
        <v>437</v>
      </c>
      <c r="B28" s="18" t="s">
        <v>265</v>
      </c>
      <c r="C28" s="18" t="s">
        <v>266</v>
      </c>
      <c r="D28" s="18" t="s">
        <v>267</v>
      </c>
      <c r="E28" s="18" t="s">
        <v>1509</v>
      </c>
      <c r="F28" s="18" t="s">
        <v>1403</v>
      </c>
      <c r="G28" s="24" t="s">
        <v>51</v>
      </c>
      <c r="H28" s="24" t="s">
        <v>59</v>
      </c>
      <c r="I28" s="25" t="s">
        <v>220</v>
      </c>
      <c r="J28" s="19"/>
      <c r="K28" s="24" t="s">
        <v>219</v>
      </c>
      <c r="L28" s="25" t="s">
        <v>268</v>
      </c>
      <c r="M28" s="25" t="s">
        <v>236</v>
      </c>
      <c r="N28" s="19"/>
      <c r="O28" s="24" t="s">
        <v>51</v>
      </c>
      <c r="P28" s="24" t="s">
        <v>59</v>
      </c>
      <c r="Q28" s="24" t="s">
        <v>252</v>
      </c>
      <c r="R28" s="19"/>
      <c r="S28" s="30" t="str">
        <f>"230,0"</f>
        <v>230,0</v>
      </c>
      <c r="T28" s="19" t="str">
        <f>"274,0680"</f>
        <v>274,0680</v>
      </c>
      <c r="U28" s="18" t="s">
        <v>1395</v>
      </c>
    </row>
    <row r="29" spans="1:21">
      <c r="B29" s="5" t="s">
        <v>30</v>
      </c>
    </row>
    <row r="30" spans="1:21" ht="16">
      <c r="A30" s="33" t="s">
        <v>45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21">
      <c r="A31" s="17" t="s">
        <v>29</v>
      </c>
      <c r="B31" s="16" t="s">
        <v>269</v>
      </c>
      <c r="C31" s="16" t="s">
        <v>270</v>
      </c>
      <c r="D31" s="16" t="s">
        <v>271</v>
      </c>
      <c r="E31" s="16" t="s">
        <v>1509</v>
      </c>
      <c r="F31" s="16" t="s">
        <v>1409</v>
      </c>
      <c r="G31" s="22" t="s">
        <v>204</v>
      </c>
      <c r="H31" s="23" t="s">
        <v>35</v>
      </c>
      <c r="I31" s="22" t="s">
        <v>35</v>
      </c>
      <c r="J31" s="17"/>
      <c r="K31" s="22" t="s">
        <v>219</v>
      </c>
      <c r="L31" s="23" t="s">
        <v>236</v>
      </c>
      <c r="M31" s="22" t="s">
        <v>236</v>
      </c>
      <c r="N31" s="17"/>
      <c r="O31" s="22" t="s">
        <v>252</v>
      </c>
      <c r="P31" s="22" t="s">
        <v>210</v>
      </c>
      <c r="Q31" s="22" t="s">
        <v>35</v>
      </c>
      <c r="R31" s="17"/>
      <c r="S31" s="29" t="str">
        <f>"257,5"</f>
        <v>257,5</v>
      </c>
      <c r="T31" s="17" t="str">
        <f>"288,9407"</f>
        <v>288,9407</v>
      </c>
      <c r="U31" s="16" t="s">
        <v>315</v>
      </c>
    </row>
    <row r="32" spans="1:21">
      <c r="A32" s="19" t="s">
        <v>29</v>
      </c>
      <c r="B32" s="18" t="s">
        <v>272</v>
      </c>
      <c r="C32" s="18" t="s">
        <v>1252</v>
      </c>
      <c r="D32" s="18" t="s">
        <v>273</v>
      </c>
      <c r="E32" s="18" t="s">
        <v>1513</v>
      </c>
      <c r="F32" s="18" t="s">
        <v>1403</v>
      </c>
      <c r="G32" s="24" t="s">
        <v>213</v>
      </c>
      <c r="H32" s="24" t="s">
        <v>214</v>
      </c>
      <c r="I32" s="25" t="s">
        <v>274</v>
      </c>
      <c r="J32" s="19"/>
      <c r="K32" s="24" t="s">
        <v>236</v>
      </c>
      <c r="L32" s="25" t="s">
        <v>212</v>
      </c>
      <c r="M32" s="24" t="s">
        <v>212</v>
      </c>
      <c r="N32" s="19"/>
      <c r="O32" s="24" t="s">
        <v>213</v>
      </c>
      <c r="P32" s="24" t="s">
        <v>230</v>
      </c>
      <c r="Q32" s="24" t="s">
        <v>274</v>
      </c>
      <c r="R32" s="24" t="s">
        <v>41</v>
      </c>
      <c r="S32" s="30" t="str">
        <f>"312,5"</f>
        <v>312,5</v>
      </c>
      <c r="T32" s="19" t="str">
        <f>"438,9063"</f>
        <v>438,9063</v>
      </c>
      <c r="U32" s="18" t="s">
        <v>225</v>
      </c>
    </row>
    <row r="33" spans="1:21">
      <c r="B33" s="5" t="s">
        <v>30</v>
      </c>
    </row>
    <row r="34" spans="1:21" ht="16">
      <c r="A34" s="33" t="s">
        <v>275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21">
      <c r="A35" s="17" t="s">
        <v>29</v>
      </c>
      <c r="B35" s="16" t="s">
        <v>276</v>
      </c>
      <c r="C35" s="16" t="s">
        <v>277</v>
      </c>
      <c r="D35" s="16" t="s">
        <v>278</v>
      </c>
      <c r="E35" s="16" t="s">
        <v>1508</v>
      </c>
      <c r="F35" s="16" t="s">
        <v>1410</v>
      </c>
      <c r="G35" s="22" t="s">
        <v>52</v>
      </c>
      <c r="H35" s="22" t="s">
        <v>220</v>
      </c>
      <c r="I35" s="22" t="s">
        <v>204</v>
      </c>
      <c r="J35" s="17"/>
      <c r="K35" s="23" t="s">
        <v>219</v>
      </c>
      <c r="L35" s="22" t="s">
        <v>219</v>
      </c>
      <c r="M35" s="22" t="s">
        <v>236</v>
      </c>
      <c r="N35" s="17"/>
      <c r="O35" s="22" t="s">
        <v>252</v>
      </c>
      <c r="P35" s="22" t="s">
        <v>35</v>
      </c>
      <c r="Q35" s="22" t="s">
        <v>198</v>
      </c>
      <c r="R35" s="17"/>
      <c r="S35" s="29" t="str">
        <f>"250,0"</f>
        <v>250,0</v>
      </c>
      <c r="T35" s="17" t="str">
        <f>"257,3500"</f>
        <v>257,3500</v>
      </c>
      <c r="U35" s="16" t="s">
        <v>279</v>
      </c>
    </row>
    <row r="36" spans="1:21">
      <c r="A36" s="21" t="s">
        <v>29</v>
      </c>
      <c r="B36" s="20" t="s">
        <v>280</v>
      </c>
      <c r="C36" s="20" t="s">
        <v>1320</v>
      </c>
      <c r="D36" s="20" t="s">
        <v>281</v>
      </c>
      <c r="E36" s="20" t="s">
        <v>1512</v>
      </c>
      <c r="F36" s="20" t="s">
        <v>1411</v>
      </c>
      <c r="G36" s="26" t="s">
        <v>214</v>
      </c>
      <c r="H36" s="26" t="s">
        <v>282</v>
      </c>
      <c r="I36" s="26" t="s">
        <v>42</v>
      </c>
      <c r="J36" s="21"/>
      <c r="K36" s="26" t="s">
        <v>283</v>
      </c>
      <c r="L36" s="26" t="s">
        <v>245</v>
      </c>
      <c r="M36" s="27" t="s">
        <v>51</v>
      </c>
      <c r="N36" s="21"/>
      <c r="O36" s="26" t="s">
        <v>37</v>
      </c>
      <c r="P36" s="26" t="s">
        <v>58</v>
      </c>
      <c r="Q36" s="26" t="s">
        <v>214</v>
      </c>
      <c r="R36" s="21"/>
      <c r="S36" s="32" t="str">
        <f>"342,5"</f>
        <v>342,5</v>
      </c>
      <c r="T36" s="21" t="str">
        <f>"372,3318"</f>
        <v>372,3318</v>
      </c>
      <c r="U36" s="20" t="s">
        <v>315</v>
      </c>
    </row>
    <row r="37" spans="1:21">
      <c r="A37" s="21" t="s">
        <v>29</v>
      </c>
      <c r="B37" s="20" t="s">
        <v>284</v>
      </c>
      <c r="C37" s="20" t="s">
        <v>285</v>
      </c>
      <c r="D37" s="20" t="s">
        <v>286</v>
      </c>
      <c r="E37" s="20" t="s">
        <v>1509</v>
      </c>
      <c r="F37" s="20" t="s">
        <v>1403</v>
      </c>
      <c r="G37" s="26" t="s">
        <v>35</v>
      </c>
      <c r="H37" s="26" t="s">
        <v>36</v>
      </c>
      <c r="I37" s="26" t="s">
        <v>37</v>
      </c>
      <c r="J37" s="21"/>
      <c r="K37" s="26" t="s">
        <v>212</v>
      </c>
      <c r="L37" s="26" t="s">
        <v>38</v>
      </c>
      <c r="M37" s="26" t="s">
        <v>39</v>
      </c>
      <c r="N37" s="21"/>
      <c r="O37" s="27" t="s">
        <v>58</v>
      </c>
      <c r="P37" s="26" t="s">
        <v>58</v>
      </c>
      <c r="Q37" s="26" t="s">
        <v>109</v>
      </c>
      <c r="R37" s="21"/>
      <c r="S37" s="32" t="str">
        <f>"310,0"</f>
        <v>310,0</v>
      </c>
      <c r="T37" s="21" t="str">
        <f>"320,8810"</f>
        <v>320,8810</v>
      </c>
      <c r="U37" s="20" t="s">
        <v>315</v>
      </c>
    </row>
    <row r="38" spans="1:21">
      <c r="A38" s="21" t="s">
        <v>189</v>
      </c>
      <c r="B38" s="20" t="s">
        <v>287</v>
      </c>
      <c r="C38" s="20" t="s">
        <v>288</v>
      </c>
      <c r="D38" s="20" t="s">
        <v>289</v>
      </c>
      <c r="E38" s="20" t="s">
        <v>1509</v>
      </c>
      <c r="F38" s="20" t="s">
        <v>1412</v>
      </c>
      <c r="G38" s="27" t="s">
        <v>37</v>
      </c>
      <c r="H38" s="26" t="s">
        <v>37</v>
      </c>
      <c r="I38" s="27" t="s">
        <v>58</v>
      </c>
      <c r="J38" s="21"/>
      <c r="K38" s="26" t="s">
        <v>218</v>
      </c>
      <c r="L38" s="27" t="s">
        <v>212</v>
      </c>
      <c r="M38" s="26" t="s">
        <v>212</v>
      </c>
      <c r="N38" s="21"/>
      <c r="O38" s="26" t="s">
        <v>36</v>
      </c>
      <c r="P38" s="26" t="s">
        <v>213</v>
      </c>
      <c r="Q38" s="26" t="s">
        <v>230</v>
      </c>
      <c r="R38" s="21"/>
      <c r="S38" s="32" t="str">
        <f>"292,5"</f>
        <v>292,5</v>
      </c>
      <c r="T38" s="21" t="str">
        <f>"298,5255"</f>
        <v>298,5255</v>
      </c>
      <c r="U38" s="20" t="s">
        <v>1378</v>
      </c>
    </row>
    <row r="39" spans="1:21">
      <c r="A39" s="21" t="s">
        <v>190</v>
      </c>
      <c r="B39" s="20" t="s">
        <v>290</v>
      </c>
      <c r="C39" s="20" t="s">
        <v>291</v>
      </c>
      <c r="D39" s="20" t="s">
        <v>292</v>
      </c>
      <c r="E39" s="20" t="s">
        <v>1509</v>
      </c>
      <c r="F39" s="20" t="s">
        <v>1403</v>
      </c>
      <c r="G39" s="26" t="s">
        <v>204</v>
      </c>
      <c r="H39" s="26" t="s">
        <v>210</v>
      </c>
      <c r="I39" s="26" t="s">
        <v>198</v>
      </c>
      <c r="J39" s="21"/>
      <c r="K39" s="26" t="s">
        <v>218</v>
      </c>
      <c r="L39" s="26" t="s">
        <v>211</v>
      </c>
      <c r="M39" s="27" t="s">
        <v>212</v>
      </c>
      <c r="N39" s="21"/>
      <c r="O39" s="26" t="s">
        <v>204</v>
      </c>
      <c r="P39" s="26" t="s">
        <v>210</v>
      </c>
      <c r="Q39" s="26" t="s">
        <v>198</v>
      </c>
      <c r="R39" s="21"/>
      <c r="S39" s="32" t="str">
        <f>"260,0"</f>
        <v>260,0</v>
      </c>
      <c r="T39" s="21" t="str">
        <f>"266,7860"</f>
        <v>266,7860</v>
      </c>
      <c r="U39" s="20" t="s">
        <v>293</v>
      </c>
    </row>
    <row r="40" spans="1:21">
      <c r="A40" s="21" t="s">
        <v>437</v>
      </c>
      <c r="B40" s="20" t="s">
        <v>294</v>
      </c>
      <c r="C40" s="20" t="s">
        <v>295</v>
      </c>
      <c r="D40" s="20" t="s">
        <v>296</v>
      </c>
      <c r="E40" s="20" t="s">
        <v>1509</v>
      </c>
      <c r="F40" s="20" t="s">
        <v>1413</v>
      </c>
      <c r="G40" s="26" t="s">
        <v>245</v>
      </c>
      <c r="H40" s="26" t="s">
        <v>59</v>
      </c>
      <c r="I40" s="26" t="s">
        <v>204</v>
      </c>
      <c r="J40" s="21"/>
      <c r="K40" s="26" t="s">
        <v>197</v>
      </c>
      <c r="L40" s="26" t="s">
        <v>218</v>
      </c>
      <c r="M40" s="27" t="s">
        <v>219</v>
      </c>
      <c r="N40" s="21"/>
      <c r="O40" s="26" t="s">
        <v>49</v>
      </c>
      <c r="P40" s="27" t="s">
        <v>36</v>
      </c>
      <c r="Q40" s="26" t="s">
        <v>36</v>
      </c>
      <c r="R40" s="21"/>
      <c r="S40" s="32" t="str">
        <f>"245,0"</f>
        <v>245,0</v>
      </c>
      <c r="T40" s="21" t="str">
        <f>"258,8180"</f>
        <v>258,8180</v>
      </c>
      <c r="U40" s="20" t="s">
        <v>324</v>
      </c>
    </row>
    <row r="41" spans="1:21">
      <c r="A41" s="19" t="s">
        <v>191</v>
      </c>
      <c r="B41" s="18" t="s">
        <v>297</v>
      </c>
      <c r="C41" s="18" t="s">
        <v>298</v>
      </c>
      <c r="D41" s="18" t="s">
        <v>299</v>
      </c>
      <c r="E41" s="18" t="s">
        <v>1509</v>
      </c>
      <c r="F41" s="18" t="s">
        <v>1414</v>
      </c>
      <c r="G41" s="25" t="s">
        <v>59</v>
      </c>
      <c r="H41" s="25" t="s">
        <v>59</v>
      </c>
      <c r="I41" s="25" t="s">
        <v>204</v>
      </c>
      <c r="J41" s="19"/>
      <c r="K41" s="25"/>
      <c r="L41" s="19"/>
      <c r="M41" s="19"/>
      <c r="N41" s="19"/>
      <c r="O41" s="25"/>
      <c r="P41" s="19"/>
      <c r="Q41" s="19"/>
      <c r="R41" s="19"/>
      <c r="S41" s="30">
        <v>0</v>
      </c>
      <c r="T41" s="19" t="str">
        <f>"0,0000"</f>
        <v>0,0000</v>
      </c>
      <c r="U41" s="18" t="s">
        <v>300</v>
      </c>
    </row>
    <row r="42" spans="1:21">
      <c r="B42" s="5" t="s">
        <v>30</v>
      </c>
    </row>
    <row r="43" spans="1:21" ht="16">
      <c r="A43" s="33" t="s">
        <v>67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21">
      <c r="A44" s="8" t="s">
        <v>29</v>
      </c>
      <c r="B44" s="7" t="s">
        <v>301</v>
      </c>
      <c r="C44" s="7" t="s">
        <v>302</v>
      </c>
      <c r="D44" s="7" t="s">
        <v>303</v>
      </c>
      <c r="E44" s="7" t="s">
        <v>1509</v>
      </c>
      <c r="F44" s="7" t="s">
        <v>1415</v>
      </c>
      <c r="G44" s="14" t="s">
        <v>35</v>
      </c>
      <c r="H44" s="14" t="s">
        <v>224</v>
      </c>
      <c r="I44" s="8"/>
      <c r="J44" s="8"/>
      <c r="K44" s="14" t="s">
        <v>50</v>
      </c>
      <c r="L44" s="14" t="s">
        <v>51</v>
      </c>
      <c r="M44" s="14" t="s">
        <v>52</v>
      </c>
      <c r="N44" s="8"/>
      <c r="O44" s="14" t="s">
        <v>109</v>
      </c>
      <c r="P44" s="14" t="s">
        <v>118</v>
      </c>
      <c r="Q44" s="15" t="s">
        <v>43</v>
      </c>
      <c r="R44" s="8"/>
      <c r="S44" s="31" t="str">
        <f>"340,0"</f>
        <v>340,0</v>
      </c>
      <c r="T44" s="8" t="str">
        <f>"344,4540"</f>
        <v>344,4540</v>
      </c>
      <c r="U44" s="7" t="s">
        <v>304</v>
      </c>
    </row>
    <row r="45" spans="1:21">
      <c r="B45" s="5" t="s">
        <v>30</v>
      </c>
    </row>
    <row r="46" spans="1:21" ht="16">
      <c r="A46" s="33" t="s">
        <v>67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21">
      <c r="A47" s="8" t="s">
        <v>29</v>
      </c>
      <c r="B47" s="7" t="s">
        <v>305</v>
      </c>
      <c r="C47" s="7" t="s">
        <v>1321</v>
      </c>
      <c r="D47" s="7" t="s">
        <v>306</v>
      </c>
      <c r="E47" s="7" t="s">
        <v>1513</v>
      </c>
      <c r="F47" s="7" t="s">
        <v>1416</v>
      </c>
      <c r="G47" s="15" t="s">
        <v>40</v>
      </c>
      <c r="H47" s="14" t="s">
        <v>40</v>
      </c>
      <c r="I47" s="14" t="s">
        <v>283</v>
      </c>
      <c r="J47" s="8"/>
      <c r="K47" s="14" t="s">
        <v>197</v>
      </c>
      <c r="L47" s="14" t="s">
        <v>223</v>
      </c>
      <c r="M47" s="15" t="s">
        <v>219</v>
      </c>
      <c r="N47" s="8"/>
      <c r="O47" s="14" t="s">
        <v>59</v>
      </c>
      <c r="P47" s="14" t="s">
        <v>204</v>
      </c>
      <c r="Q47" s="14" t="s">
        <v>252</v>
      </c>
      <c r="R47" s="8"/>
      <c r="S47" s="31" t="str">
        <f>"212,5"</f>
        <v>212,5</v>
      </c>
      <c r="T47" s="8" t="str">
        <f>"193,7203"</f>
        <v>193,7203</v>
      </c>
      <c r="U47" s="7" t="s">
        <v>315</v>
      </c>
    </row>
    <row r="48" spans="1:21">
      <c r="B48" s="5" t="s">
        <v>30</v>
      </c>
    </row>
    <row r="49" spans="1:21" ht="16">
      <c r="A49" s="33" t="s">
        <v>54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21">
      <c r="A50" s="8" t="s">
        <v>29</v>
      </c>
      <c r="B50" s="7" t="s">
        <v>307</v>
      </c>
      <c r="C50" s="7" t="s">
        <v>1322</v>
      </c>
      <c r="D50" s="7" t="s">
        <v>308</v>
      </c>
      <c r="E50" s="7" t="s">
        <v>1511</v>
      </c>
      <c r="F50" s="7" t="s">
        <v>1403</v>
      </c>
      <c r="G50" s="14" t="s">
        <v>171</v>
      </c>
      <c r="H50" s="14" t="s">
        <v>245</v>
      </c>
      <c r="I50" s="14" t="s">
        <v>52</v>
      </c>
      <c r="J50" s="8"/>
      <c r="K50" s="14" t="s">
        <v>197</v>
      </c>
      <c r="L50" s="14" t="s">
        <v>223</v>
      </c>
      <c r="M50" s="14" t="s">
        <v>218</v>
      </c>
      <c r="N50" s="8"/>
      <c r="O50" s="14" t="s">
        <v>204</v>
      </c>
      <c r="P50" s="15" t="s">
        <v>35</v>
      </c>
      <c r="Q50" s="14" t="s">
        <v>35</v>
      </c>
      <c r="R50" s="8"/>
      <c r="S50" s="31" t="str">
        <f>"232,5"</f>
        <v>232,5</v>
      </c>
      <c r="T50" s="8" t="str">
        <f>"200,9030"</f>
        <v>200,9030</v>
      </c>
      <c r="U50" s="7" t="s">
        <v>309</v>
      </c>
    </row>
    <row r="51" spans="1:21">
      <c r="B51" s="5" t="s">
        <v>30</v>
      </c>
    </row>
    <row r="52" spans="1:21" ht="16">
      <c r="A52" s="33" t="s">
        <v>275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21">
      <c r="A53" s="8" t="s">
        <v>29</v>
      </c>
      <c r="B53" s="7" t="s">
        <v>310</v>
      </c>
      <c r="C53" s="7" t="s">
        <v>311</v>
      </c>
      <c r="D53" s="7" t="s">
        <v>312</v>
      </c>
      <c r="E53" s="7" t="s">
        <v>1509</v>
      </c>
      <c r="F53" s="7" t="s">
        <v>1403</v>
      </c>
      <c r="G53" s="14" t="s">
        <v>66</v>
      </c>
      <c r="H53" s="14" t="s">
        <v>76</v>
      </c>
      <c r="I53" s="14" t="s">
        <v>77</v>
      </c>
      <c r="J53" s="8"/>
      <c r="K53" s="14" t="s">
        <v>58</v>
      </c>
      <c r="L53" s="14" t="s">
        <v>214</v>
      </c>
      <c r="M53" s="15" t="s">
        <v>274</v>
      </c>
      <c r="N53" s="8"/>
      <c r="O53" s="14" t="s">
        <v>91</v>
      </c>
      <c r="P53" s="14" t="s">
        <v>77</v>
      </c>
      <c r="Q53" s="14" t="s">
        <v>102</v>
      </c>
      <c r="R53" s="8"/>
      <c r="S53" s="31" t="str">
        <f>"562,5"</f>
        <v>562,5</v>
      </c>
      <c r="T53" s="8" t="str">
        <f>"438,9750"</f>
        <v>438,9750</v>
      </c>
      <c r="U53" s="7" t="s">
        <v>315</v>
      </c>
    </row>
    <row r="54" spans="1:21">
      <c r="B54" s="5" t="s">
        <v>30</v>
      </c>
    </row>
    <row r="55" spans="1:21" ht="16">
      <c r="A55" s="33" t="s">
        <v>67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21">
      <c r="A56" s="17" t="s">
        <v>29</v>
      </c>
      <c r="B56" s="16" t="s">
        <v>313</v>
      </c>
      <c r="C56" s="16" t="s">
        <v>1323</v>
      </c>
      <c r="D56" s="16" t="s">
        <v>314</v>
      </c>
      <c r="E56" s="16" t="s">
        <v>1512</v>
      </c>
      <c r="F56" s="16" t="s">
        <v>315</v>
      </c>
      <c r="G56" s="23" t="s">
        <v>118</v>
      </c>
      <c r="H56" s="22" t="s">
        <v>119</v>
      </c>
      <c r="I56" s="23" t="s">
        <v>158</v>
      </c>
      <c r="J56" s="17"/>
      <c r="K56" s="22" t="s">
        <v>75</v>
      </c>
      <c r="L56" s="22" t="s">
        <v>224</v>
      </c>
      <c r="M56" s="23" t="s">
        <v>213</v>
      </c>
      <c r="N56" s="17"/>
      <c r="O56" s="22" t="s">
        <v>85</v>
      </c>
      <c r="P56" s="22" t="s">
        <v>90</v>
      </c>
      <c r="Q56" s="22" t="s">
        <v>66</v>
      </c>
      <c r="R56" s="17"/>
      <c r="S56" s="29" t="str">
        <f>"467,5"</f>
        <v>467,5</v>
      </c>
      <c r="T56" s="17" t="str">
        <f>"335,3377"</f>
        <v>335,3377</v>
      </c>
      <c r="U56" s="16" t="s">
        <v>293</v>
      </c>
    </row>
    <row r="57" spans="1:21">
      <c r="A57" s="21" t="s">
        <v>29</v>
      </c>
      <c r="B57" s="20" t="s">
        <v>316</v>
      </c>
      <c r="C57" s="20" t="s">
        <v>317</v>
      </c>
      <c r="D57" s="20" t="s">
        <v>318</v>
      </c>
      <c r="E57" s="20" t="s">
        <v>1509</v>
      </c>
      <c r="F57" s="20" t="s">
        <v>1403</v>
      </c>
      <c r="G57" s="26" t="s">
        <v>102</v>
      </c>
      <c r="H57" s="26" t="s">
        <v>103</v>
      </c>
      <c r="I57" s="27" t="s">
        <v>319</v>
      </c>
      <c r="J57" s="21"/>
      <c r="K57" s="26" t="s">
        <v>214</v>
      </c>
      <c r="L57" s="27" t="s">
        <v>41</v>
      </c>
      <c r="M57" s="26" t="s">
        <v>41</v>
      </c>
      <c r="N57" s="21"/>
      <c r="O57" s="26" t="s">
        <v>13</v>
      </c>
      <c r="P57" s="27" t="s">
        <v>14</v>
      </c>
      <c r="Q57" s="27" t="s">
        <v>14</v>
      </c>
      <c r="R57" s="21"/>
      <c r="S57" s="32" t="str">
        <f>"597,5"</f>
        <v>597,5</v>
      </c>
      <c r="T57" s="21" t="str">
        <f>"425,7785"</f>
        <v>425,7785</v>
      </c>
      <c r="U57" s="20" t="s">
        <v>320</v>
      </c>
    </row>
    <row r="58" spans="1:21">
      <c r="A58" s="21" t="s">
        <v>189</v>
      </c>
      <c r="B58" s="20" t="s">
        <v>68</v>
      </c>
      <c r="C58" s="20" t="s">
        <v>69</v>
      </c>
      <c r="D58" s="20" t="s">
        <v>321</v>
      </c>
      <c r="E58" s="20" t="s">
        <v>1509</v>
      </c>
      <c r="F58" s="20" t="s">
        <v>71</v>
      </c>
      <c r="G58" s="26" t="s">
        <v>72</v>
      </c>
      <c r="H58" s="26" t="s">
        <v>73</v>
      </c>
      <c r="I58" s="26" t="s">
        <v>74</v>
      </c>
      <c r="J58" s="21"/>
      <c r="K58" s="26" t="s">
        <v>35</v>
      </c>
      <c r="L58" s="26" t="s">
        <v>36</v>
      </c>
      <c r="M58" s="27" t="s">
        <v>75</v>
      </c>
      <c r="N58" s="21"/>
      <c r="O58" s="26" t="s">
        <v>76</v>
      </c>
      <c r="P58" s="26" t="s">
        <v>77</v>
      </c>
      <c r="Q58" s="27" t="s">
        <v>78</v>
      </c>
      <c r="R58" s="21"/>
      <c r="S58" s="32" t="str">
        <f>"502,5"</f>
        <v>502,5</v>
      </c>
      <c r="T58" s="21" t="str">
        <f>"363,5588"</f>
        <v>363,5588</v>
      </c>
      <c r="U58" s="20" t="s">
        <v>315</v>
      </c>
    </row>
    <row r="59" spans="1:21">
      <c r="A59" s="21" t="s">
        <v>29</v>
      </c>
      <c r="B59" s="20" t="s">
        <v>322</v>
      </c>
      <c r="C59" s="20" t="s">
        <v>1282</v>
      </c>
      <c r="D59" s="20" t="s">
        <v>323</v>
      </c>
      <c r="E59" s="20" t="s">
        <v>1510</v>
      </c>
      <c r="F59" s="20" t="s">
        <v>1413</v>
      </c>
      <c r="G59" s="26" t="s">
        <v>213</v>
      </c>
      <c r="H59" s="27" t="s">
        <v>230</v>
      </c>
      <c r="I59" s="26" t="s">
        <v>214</v>
      </c>
      <c r="J59" s="21"/>
      <c r="K59" s="26" t="s">
        <v>35</v>
      </c>
      <c r="L59" s="26" t="s">
        <v>37</v>
      </c>
      <c r="M59" s="27" t="s">
        <v>224</v>
      </c>
      <c r="N59" s="21"/>
      <c r="O59" s="26" t="s">
        <v>58</v>
      </c>
      <c r="P59" s="26" t="s">
        <v>41</v>
      </c>
      <c r="Q59" s="26" t="s">
        <v>97</v>
      </c>
      <c r="R59" s="21"/>
      <c r="S59" s="32" t="str">
        <f>"372,5"</f>
        <v>372,5</v>
      </c>
      <c r="T59" s="21" t="str">
        <f>"296,1468"</f>
        <v>296,1468</v>
      </c>
      <c r="U59" s="20" t="s">
        <v>324</v>
      </c>
    </row>
    <row r="60" spans="1:21">
      <c r="A60" s="19" t="s">
        <v>29</v>
      </c>
      <c r="B60" s="18" t="s">
        <v>325</v>
      </c>
      <c r="C60" s="18" t="s">
        <v>1259</v>
      </c>
      <c r="D60" s="18" t="s">
        <v>326</v>
      </c>
      <c r="E60" s="18" t="s">
        <v>1514</v>
      </c>
      <c r="F60" s="18" t="s">
        <v>1403</v>
      </c>
      <c r="G60" s="24" t="s">
        <v>58</v>
      </c>
      <c r="H60" s="25" t="s">
        <v>274</v>
      </c>
      <c r="I60" s="24" t="s">
        <v>274</v>
      </c>
      <c r="J60" s="19"/>
      <c r="K60" s="24" t="s">
        <v>52</v>
      </c>
      <c r="L60" s="24" t="s">
        <v>220</v>
      </c>
      <c r="M60" s="25" t="s">
        <v>204</v>
      </c>
      <c r="N60" s="19"/>
      <c r="O60" s="24" t="s">
        <v>97</v>
      </c>
      <c r="P60" s="24" t="s">
        <v>110</v>
      </c>
      <c r="Q60" s="24" t="s">
        <v>111</v>
      </c>
      <c r="R60" s="19"/>
      <c r="S60" s="30" t="str">
        <f>"362,5"</f>
        <v>362,5</v>
      </c>
      <c r="T60" s="19" t="str">
        <f>"444,3774"</f>
        <v>444,3774</v>
      </c>
      <c r="U60" s="18" t="s">
        <v>315</v>
      </c>
    </row>
    <row r="61" spans="1:21">
      <c r="B61" s="5" t="s">
        <v>30</v>
      </c>
    </row>
    <row r="62" spans="1:21" ht="16">
      <c r="A62" s="33" t="s">
        <v>79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21">
      <c r="A63" s="17" t="s">
        <v>29</v>
      </c>
      <c r="B63" s="16" t="s">
        <v>327</v>
      </c>
      <c r="C63" s="16" t="s">
        <v>328</v>
      </c>
      <c r="D63" s="16" t="s">
        <v>329</v>
      </c>
      <c r="E63" s="16" t="s">
        <v>1508</v>
      </c>
      <c r="F63" s="16" t="s">
        <v>330</v>
      </c>
      <c r="G63" s="22" t="s">
        <v>36</v>
      </c>
      <c r="H63" s="22" t="s">
        <v>37</v>
      </c>
      <c r="I63" s="22" t="s">
        <v>240</v>
      </c>
      <c r="J63" s="17"/>
      <c r="K63" s="22" t="s">
        <v>36</v>
      </c>
      <c r="L63" s="22" t="s">
        <v>75</v>
      </c>
      <c r="M63" s="22" t="s">
        <v>224</v>
      </c>
      <c r="N63" s="17"/>
      <c r="O63" s="22" t="s">
        <v>84</v>
      </c>
      <c r="P63" s="22" t="s">
        <v>85</v>
      </c>
      <c r="Q63" s="22" t="s">
        <v>65</v>
      </c>
      <c r="R63" s="17"/>
      <c r="S63" s="29" t="str">
        <f>"415,0"</f>
        <v>415,0</v>
      </c>
      <c r="T63" s="17" t="str">
        <f>"282,6565"</f>
        <v>282,6565</v>
      </c>
      <c r="U63" s="16" t="s">
        <v>1357</v>
      </c>
    </row>
    <row r="64" spans="1:21">
      <c r="A64" s="21" t="s">
        <v>29</v>
      </c>
      <c r="B64" s="20" t="s">
        <v>331</v>
      </c>
      <c r="C64" s="20" t="s">
        <v>1260</v>
      </c>
      <c r="D64" s="20" t="s">
        <v>332</v>
      </c>
      <c r="E64" s="20" t="s">
        <v>1512</v>
      </c>
      <c r="F64" s="20" t="s">
        <v>333</v>
      </c>
      <c r="G64" s="27" t="s">
        <v>84</v>
      </c>
      <c r="H64" s="26" t="s">
        <v>84</v>
      </c>
      <c r="I64" s="26" t="s">
        <v>85</v>
      </c>
      <c r="J64" s="21"/>
      <c r="K64" s="26" t="s">
        <v>37</v>
      </c>
      <c r="L64" s="26" t="s">
        <v>240</v>
      </c>
      <c r="M64" s="27" t="s">
        <v>58</v>
      </c>
      <c r="N64" s="21"/>
      <c r="O64" s="26" t="s">
        <v>76</v>
      </c>
      <c r="P64" s="26" t="s">
        <v>78</v>
      </c>
      <c r="Q64" s="27" t="s">
        <v>83</v>
      </c>
      <c r="R64" s="21"/>
      <c r="S64" s="32" t="str">
        <f>"512,5"</f>
        <v>512,5</v>
      </c>
      <c r="T64" s="21" t="str">
        <f>"353,0100"</f>
        <v>353,0100</v>
      </c>
      <c r="U64" s="20" t="s">
        <v>1396</v>
      </c>
    </row>
    <row r="65" spans="1:21">
      <c r="A65" s="21" t="s">
        <v>29</v>
      </c>
      <c r="B65" s="20" t="s">
        <v>334</v>
      </c>
      <c r="C65" s="20" t="s">
        <v>335</v>
      </c>
      <c r="D65" s="20" t="s">
        <v>82</v>
      </c>
      <c r="E65" s="20" t="s">
        <v>1509</v>
      </c>
      <c r="F65" s="20" t="s">
        <v>336</v>
      </c>
      <c r="G65" s="26" t="s">
        <v>108</v>
      </c>
      <c r="H65" s="26" t="s">
        <v>78</v>
      </c>
      <c r="I65" s="27" t="s">
        <v>83</v>
      </c>
      <c r="J65" s="21"/>
      <c r="K65" s="26" t="s">
        <v>109</v>
      </c>
      <c r="L65" s="26" t="s">
        <v>110</v>
      </c>
      <c r="M65" s="27" t="s">
        <v>111</v>
      </c>
      <c r="N65" s="21"/>
      <c r="O65" s="26" t="s">
        <v>112</v>
      </c>
      <c r="P65" s="26" t="s">
        <v>120</v>
      </c>
      <c r="Q65" s="26" t="s">
        <v>337</v>
      </c>
      <c r="R65" s="21"/>
      <c r="S65" s="32" t="str">
        <f>"637,5"</f>
        <v>637,5</v>
      </c>
      <c r="T65" s="21" t="str">
        <f>"428,0175"</f>
        <v>428,0175</v>
      </c>
      <c r="U65" s="20" t="s">
        <v>315</v>
      </c>
    </row>
    <row r="66" spans="1:21">
      <c r="A66" s="21" t="s">
        <v>189</v>
      </c>
      <c r="B66" s="20" t="s">
        <v>338</v>
      </c>
      <c r="C66" s="20" t="s">
        <v>339</v>
      </c>
      <c r="D66" s="20" t="s">
        <v>340</v>
      </c>
      <c r="E66" s="20" t="s">
        <v>1509</v>
      </c>
      <c r="F66" s="20" t="s">
        <v>1401</v>
      </c>
      <c r="G66" s="27" t="s">
        <v>90</v>
      </c>
      <c r="H66" s="26" t="s">
        <v>90</v>
      </c>
      <c r="I66" s="26" t="s">
        <v>95</v>
      </c>
      <c r="J66" s="21"/>
      <c r="K66" s="26" t="s">
        <v>119</v>
      </c>
      <c r="L66" s="26" t="s">
        <v>63</v>
      </c>
      <c r="M66" s="27" t="s">
        <v>341</v>
      </c>
      <c r="N66" s="21"/>
      <c r="O66" s="26" t="s">
        <v>14</v>
      </c>
      <c r="P66" s="26" t="s">
        <v>120</v>
      </c>
      <c r="Q66" s="26" t="s">
        <v>15</v>
      </c>
      <c r="R66" s="21"/>
      <c r="S66" s="32" t="str">
        <f>"627,5"</f>
        <v>627,5</v>
      </c>
      <c r="T66" s="21" t="str">
        <f>"422,5585"</f>
        <v>422,5585</v>
      </c>
      <c r="U66" s="20" t="s">
        <v>315</v>
      </c>
    </row>
    <row r="67" spans="1:21">
      <c r="A67" s="21" t="s">
        <v>190</v>
      </c>
      <c r="B67" s="20" t="s">
        <v>342</v>
      </c>
      <c r="C67" s="20" t="s">
        <v>343</v>
      </c>
      <c r="D67" s="20" t="s">
        <v>344</v>
      </c>
      <c r="E67" s="20" t="s">
        <v>1509</v>
      </c>
      <c r="F67" s="20" t="s">
        <v>1417</v>
      </c>
      <c r="G67" s="26" t="s">
        <v>72</v>
      </c>
      <c r="H67" s="27" t="s">
        <v>85</v>
      </c>
      <c r="I67" s="26" t="s">
        <v>85</v>
      </c>
      <c r="J67" s="21"/>
      <c r="K67" s="26" t="s">
        <v>41</v>
      </c>
      <c r="L67" s="26" t="s">
        <v>109</v>
      </c>
      <c r="M67" s="27" t="s">
        <v>42</v>
      </c>
      <c r="N67" s="21"/>
      <c r="O67" s="26" t="s">
        <v>108</v>
      </c>
      <c r="P67" s="26" t="s">
        <v>78</v>
      </c>
      <c r="Q67" s="26" t="s">
        <v>16</v>
      </c>
      <c r="R67" s="21"/>
      <c r="S67" s="32" t="str">
        <f>"540,0"</f>
        <v>540,0</v>
      </c>
      <c r="T67" s="21" t="str">
        <f>"365,7960"</f>
        <v>365,7960</v>
      </c>
      <c r="U67" s="20" t="s">
        <v>315</v>
      </c>
    </row>
    <row r="68" spans="1:21">
      <c r="A68" s="21" t="s">
        <v>437</v>
      </c>
      <c r="B68" s="20" t="s">
        <v>345</v>
      </c>
      <c r="C68" s="20" t="s">
        <v>346</v>
      </c>
      <c r="D68" s="20" t="s">
        <v>347</v>
      </c>
      <c r="E68" s="20" t="s">
        <v>1509</v>
      </c>
      <c r="F68" s="20" t="s">
        <v>1403</v>
      </c>
      <c r="G68" s="26" t="s">
        <v>118</v>
      </c>
      <c r="H68" s="26" t="s">
        <v>119</v>
      </c>
      <c r="I68" s="26" t="s">
        <v>63</v>
      </c>
      <c r="J68" s="21"/>
      <c r="K68" s="26" t="s">
        <v>213</v>
      </c>
      <c r="L68" s="26" t="s">
        <v>58</v>
      </c>
      <c r="M68" s="27" t="s">
        <v>230</v>
      </c>
      <c r="N68" s="21"/>
      <c r="O68" s="26" t="s">
        <v>84</v>
      </c>
      <c r="P68" s="26" t="s">
        <v>85</v>
      </c>
      <c r="Q68" s="27" t="s">
        <v>65</v>
      </c>
      <c r="R68" s="21"/>
      <c r="S68" s="32" t="str">
        <f>"455,0"</f>
        <v>455,0</v>
      </c>
      <c r="T68" s="21" t="str">
        <f>"305,9420"</f>
        <v>305,9420</v>
      </c>
      <c r="U68" s="20" t="s">
        <v>315</v>
      </c>
    </row>
    <row r="69" spans="1:21">
      <c r="A69" s="19" t="s">
        <v>29</v>
      </c>
      <c r="B69" s="18" t="s">
        <v>334</v>
      </c>
      <c r="C69" s="18" t="s">
        <v>1246</v>
      </c>
      <c r="D69" s="18" t="s">
        <v>82</v>
      </c>
      <c r="E69" s="18" t="s">
        <v>1513</v>
      </c>
      <c r="F69" s="18" t="s">
        <v>336</v>
      </c>
      <c r="G69" s="24" t="s">
        <v>108</v>
      </c>
      <c r="H69" s="24" t="s">
        <v>78</v>
      </c>
      <c r="I69" s="25" t="s">
        <v>83</v>
      </c>
      <c r="J69" s="19"/>
      <c r="K69" s="24" t="s">
        <v>109</v>
      </c>
      <c r="L69" s="24" t="s">
        <v>110</v>
      </c>
      <c r="M69" s="25" t="s">
        <v>111</v>
      </c>
      <c r="N69" s="19"/>
      <c r="O69" s="24" t="s">
        <v>112</v>
      </c>
      <c r="P69" s="24" t="s">
        <v>120</v>
      </c>
      <c r="Q69" s="24" t="s">
        <v>337</v>
      </c>
      <c r="R69" s="19"/>
      <c r="S69" s="30" t="str">
        <f>"637,5"</f>
        <v>637,5</v>
      </c>
      <c r="T69" s="19" t="str">
        <f>"535,0219"</f>
        <v>535,0219</v>
      </c>
      <c r="U69" s="18" t="s">
        <v>315</v>
      </c>
    </row>
    <row r="70" spans="1:21">
      <c r="B70" s="5" t="s">
        <v>30</v>
      </c>
    </row>
    <row r="71" spans="1:21" ht="16">
      <c r="A71" s="33" t="s">
        <v>98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21">
      <c r="A72" s="17" t="s">
        <v>29</v>
      </c>
      <c r="B72" s="16" t="s">
        <v>348</v>
      </c>
      <c r="C72" s="16" t="s">
        <v>349</v>
      </c>
      <c r="D72" s="16" t="s">
        <v>350</v>
      </c>
      <c r="E72" s="16" t="s">
        <v>1509</v>
      </c>
      <c r="F72" s="16" t="s">
        <v>1418</v>
      </c>
      <c r="G72" s="22" t="s">
        <v>66</v>
      </c>
      <c r="H72" s="22" t="s">
        <v>78</v>
      </c>
      <c r="I72" s="23" t="s">
        <v>17</v>
      </c>
      <c r="J72" s="17"/>
      <c r="K72" s="22" t="s">
        <v>41</v>
      </c>
      <c r="L72" s="22" t="s">
        <v>42</v>
      </c>
      <c r="M72" s="23" t="s">
        <v>118</v>
      </c>
      <c r="N72" s="17"/>
      <c r="O72" s="22" t="s">
        <v>14</v>
      </c>
      <c r="P72" s="22" t="s">
        <v>337</v>
      </c>
      <c r="Q72" s="23" t="s">
        <v>159</v>
      </c>
      <c r="R72" s="17"/>
      <c r="S72" s="29" t="str">
        <f>"635,0"</f>
        <v>635,0</v>
      </c>
      <c r="T72" s="17" t="str">
        <f>"414,7820"</f>
        <v>414,7820</v>
      </c>
      <c r="U72" s="16" t="s">
        <v>315</v>
      </c>
    </row>
    <row r="73" spans="1:21">
      <c r="A73" s="21" t="s">
        <v>189</v>
      </c>
      <c r="B73" s="20" t="s">
        <v>351</v>
      </c>
      <c r="C73" s="20" t="s">
        <v>352</v>
      </c>
      <c r="D73" s="20" t="s">
        <v>353</v>
      </c>
      <c r="E73" s="20" t="s">
        <v>1509</v>
      </c>
      <c r="F73" s="20" t="s">
        <v>1413</v>
      </c>
      <c r="G73" s="26" t="s">
        <v>77</v>
      </c>
      <c r="H73" s="26" t="s">
        <v>83</v>
      </c>
      <c r="I73" s="27" t="s">
        <v>16</v>
      </c>
      <c r="J73" s="21"/>
      <c r="K73" s="26" t="s">
        <v>111</v>
      </c>
      <c r="L73" s="26" t="s">
        <v>134</v>
      </c>
      <c r="M73" s="27" t="s">
        <v>158</v>
      </c>
      <c r="N73" s="21"/>
      <c r="O73" s="26" t="s">
        <v>16</v>
      </c>
      <c r="P73" s="26" t="s">
        <v>13</v>
      </c>
      <c r="Q73" s="27" t="s">
        <v>112</v>
      </c>
      <c r="R73" s="21"/>
      <c r="S73" s="32" t="str">
        <f>"617,5"</f>
        <v>617,5</v>
      </c>
      <c r="T73" s="21" t="str">
        <f>"395,8175"</f>
        <v>395,8175</v>
      </c>
      <c r="U73" s="20" t="s">
        <v>324</v>
      </c>
    </row>
    <row r="74" spans="1:21">
      <c r="A74" s="21" t="s">
        <v>190</v>
      </c>
      <c r="B74" s="20" t="s">
        <v>354</v>
      </c>
      <c r="C74" s="20" t="s">
        <v>355</v>
      </c>
      <c r="D74" s="20" t="s">
        <v>356</v>
      </c>
      <c r="E74" s="20" t="s">
        <v>1509</v>
      </c>
      <c r="F74" s="20" t="s">
        <v>1419</v>
      </c>
      <c r="G74" s="27" t="s">
        <v>66</v>
      </c>
      <c r="H74" s="27" t="s">
        <v>66</v>
      </c>
      <c r="I74" s="26" t="s">
        <v>66</v>
      </c>
      <c r="J74" s="21"/>
      <c r="K74" s="26" t="s">
        <v>63</v>
      </c>
      <c r="L74" s="27" t="s">
        <v>357</v>
      </c>
      <c r="M74" s="26" t="s">
        <v>357</v>
      </c>
      <c r="N74" s="21"/>
      <c r="O74" s="26" t="s">
        <v>108</v>
      </c>
      <c r="P74" s="26" t="s">
        <v>103</v>
      </c>
      <c r="Q74" s="27" t="s">
        <v>13</v>
      </c>
      <c r="R74" s="21"/>
      <c r="S74" s="32" t="str">
        <f>"595,0"</f>
        <v>595,0</v>
      </c>
      <c r="T74" s="21" t="str">
        <f>"380,0860"</f>
        <v>380,0860</v>
      </c>
      <c r="U74" s="20" t="s">
        <v>315</v>
      </c>
    </row>
    <row r="75" spans="1:21">
      <c r="A75" s="21" t="s">
        <v>437</v>
      </c>
      <c r="B75" s="20" t="s">
        <v>358</v>
      </c>
      <c r="C75" s="20" t="s">
        <v>359</v>
      </c>
      <c r="D75" s="20" t="s">
        <v>360</v>
      </c>
      <c r="E75" s="20" t="s">
        <v>1509</v>
      </c>
      <c r="F75" s="20" t="s">
        <v>1403</v>
      </c>
      <c r="G75" s="26" t="s">
        <v>111</v>
      </c>
      <c r="H75" s="26" t="s">
        <v>119</v>
      </c>
      <c r="I75" s="26" t="s">
        <v>63</v>
      </c>
      <c r="J75" s="21"/>
      <c r="K75" s="26" t="s">
        <v>240</v>
      </c>
      <c r="L75" s="26" t="s">
        <v>230</v>
      </c>
      <c r="M75" s="27" t="s">
        <v>41</v>
      </c>
      <c r="N75" s="21"/>
      <c r="O75" s="26" t="s">
        <v>63</v>
      </c>
      <c r="P75" s="26" t="s">
        <v>72</v>
      </c>
      <c r="Q75" s="27" t="s">
        <v>65</v>
      </c>
      <c r="R75" s="21"/>
      <c r="S75" s="32" t="str">
        <f>"452,5"</f>
        <v>452,5</v>
      </c>
      <c r="T75" s="21" t="str">
        <f>"292,6318"</f>
        <v>292,6318</v>
      </c>
      <c r="U75" s="20" t="s">
        <v>1383</v>
      </c>
    </row>
    <row r="76" spans="1:21">
      <c r="A76" s="21" t="s">
        <v>438</v>
      </c>
      <c r="B76" s="20" t="s">
        <v>361</v>
      </c>
      <c r="C76" s="20" t="s">
        <v>362</v>
      </c>
      <c r="D76" s="20" t="s">
        <v>363</v>
      </c>
      <c r="E76" s="20" t="s">
        <v>1509</v>
      </c>
      <c r="F76" s="20" t="s">
        <v>1403</v>
      </c>
      <c r="G76" s="26" t="s">
        <v>118</v>
      </c>
      <c r="H76" s="26" t="s">
        <v>158</v>
      </c>
      <c r="I76" s="27" t="s">
        <v>84</v>
      </c>
      <c r="J76" s="21"/>
      <c r="K76" s="26" t="s">
        <v>214</v>
      </c>
      <c r="L76" s="26" t="s">
        <v>41</v>
      </c>
      <c r="M76" s="27" t="s">
        <v>282</v>
      </c>
      <c r="N76" s="21"/>
      <c r="O76" s="26" t="s">
        <v>119</v>
      </c>
      <c r="P76" s="26" t="s">
        <v>84</v>
      </c>
      <c r="Q76" s="27" t="s">
        <v>364</v>
      </c>
      <c r="R76" s="21"/>
      <c r="S76" s="32" t="str">
        <f>"452,5"</f>
        <v>452,5</v>
      </c>
      <c r="T76" s="21" t="str">
        <f>"292,2698"</f>
        <v>292,2698</v>
      </c>
      <c r="U76" s="20" t="s">
        <v>365</v>
      </c>
    </row>
    <row r="77" spans="1:21">
      <c r="A77" s="21" t="s">
        <v>29</v>
      </c>
      <c r="B77" s="20" t="s">
        <v>366</v>
      </c>
      <c r="C77" s="20" t="s">
        <v>1324</v>
      </c>
      <c r="D77" s="20" t="s">
        <v>367</v>
      </c>
      <c r="E77" s="20" t="s">
        <v>1510</v>
      </c>
      <c r="F77" s="20" t="s">
        <v>1419</v>
      </c>
      <c r="G77" s="26" t="s">
        <v>77</v>
      </c>
      <c r="H77" s="26" t="s">
        <v>83</v>
      </c>
      <c r="I77" s="26" t="s">
        <v>319</v>
      </c>
      <c r="J77" s="21"/>
      <c r="K77" s="26" t="s">
        <v>118</v>
      </c>
      <c r="L77" s="26" t="s">
        <v>158</v>
      </c>
      <c r="M77" s="26" t="s">
        <v>357</v>
      </c>
      <c r="N77" s="21"/>
      <c r="O77" s="26" t="s">
        <v>77</v>
      </c>
      <c r="P77" s="26" t="s">
        <v>83</v>
      </c>
      <c r="Q77" s="26" t="s">
        <v>17</v>
      </c>
      <c r="R77" s="21"/>
      <c r="S77" s="32" t="str">
        <f>"635,0"</f>
        <v>635,0</v>
      </c>
      <c r="T77" s="21" t="str">
        <f>"441,5903"</f>
        <v>441,5903</v>
      </c>
      <c r="U77" s="20" t="s">
        <v>368</v>
      </c>
    </row>
    <row r="78" spans="1:21">
      <c r="A78" s="19" t="s">
        <v>191</v>
      </c>
      <c r="B78" s="18" t="s">
        <v>369</v>
      </c>
      <c r="C78" s="18" t="s">
        <v>1325</v>
      </c>
      <c r="D78" s="18" t="s">
        <v>370</v>
      </c>
      <c r="E78" s="18" t="s">
        <v>1510</v>
      </c>
      <c r="F78" s="18" t="s">
        <v>1420</v>
      </c>
      <c r="G78" s="25" t="s">
        <v>43</v>
      </c>
      <c r="H78" s="25" t="s">
        <v>43</v>
      </c>
      <c r="I78" s="25" t="s">
        <v>43</v>
      </c>
      <c r="J78" s="19"/>
      <c r="K78" s="25"/>
      <c r="L78" s="19"/>
      <c r="M78" s="19"/>
      <c r="N78" s="19"/>
      <c r="O78" s="25"/>
      <c r="P78" s="19"/>
      <c r="Q78" s="19"/>
      <c r="R78" s="19"/>
      <c r="S78" s="30">
        <v>0</v>
      </c>
      <c r="T78" s="19" t="str">
        <f>"0,0000"</f>
        <v>0,0000</v>
      </c>
      <c r="U78" s="18" t="s">
        <v>1397</v>
      </c>
    </row>
    <row r="79" spans="1:21">
      <c r="B79" s="5" t="s">
        <v>30</v>
      </c>
    </row>
    <row r="80" spans="1:21" ht="16">
      <c r="A80" s="33" t="s">
        <v>122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21">
      <c r="A81" s="17" t="s">
        <v>29</v>
      </c>
      <c r="B81" s="16" t="s">
        <v>371</v>
      </c>
      <c r="C81" s="16" t="s">
        <v>1326</v>
      </c>
      <c r="D81" s="16" t="s">
        <v>372</v>
      </c>
      <c r="E81" s="16" t="s">
        <v>1512</v>
      </c>
      <c r="F81" s="16" t="s">
        <v>1417</v>
      </c>
      <c r="G81" s="23" t="s">
        <v>64</v>
      </c>
      <c r="H81" s="22" t="s">
        <v>64</v>
      </c>
      <c r="I81" s="22" t="s">
        <v>90</v>
      </c>
      <c r="J81" s="17"/>
      <c r="K81" s="22" t="s">
        <v>58</v>
      </c>
      <c r="L81" s="22" t="s">
        <v>41</v>
      </c>
      <c r="M81" s="17"/>
      <c r="N81" s="17"/>
      <c r="O81" s="23" t="s">
        <v>108</v>
      </c>
      <c r="P81" s="22" t="s">
        <v>16</v>
      </c>
      <c r="Q81" s="23" t="s">
        <v>112</v>
      </c>
      <c r="R81" s="17"/>
      <c r="S81" s="29" t="str">
        <f>"550,0"</f>
        <v>550,0</v>
      </c>
      <c r="T81" s="17" t="str">
        <f>"348,4250"</f>
        <v>348,4250</v>
      </c>
      <c r="U81" s="16" t="s">
        <v>315</v>
      </c>
    </row>
    <row r="82" spans="1:21">
      <c r="A82" s="21" t="s">
        <v>29</v>
      </c>
      <c r="B82" s="20" t="s">
        <v>373</v>
      </c>
      <c r="C82" s="20" t="s">
        <v>374</v>
      </c>
      <c r="D82" s="20" t="s">
        <v>375</v>
      </c>
      <c r="E82" s="20" t="s">
        <v>1509</v>
      </c>
      <c r="F82" s="20" t="s">
        <v>1419</v>
      </c>
      <c r="G82" s="26" t="s">
        <v>66</v>
      </c>
      <c r="H82" s="26" t="s">
        <v>78</v>
      </c>
      <c r="I82" s="21"/>
      <c r="J82" s="21"/>
      <c r="K82" s="26" t="s">
        <v>84</v>
      </c>
      <c r="L82" s="26" t="s">
        <v>72</v>
      </c>
      <c r="M82" s="21"/>
      <c r="N82" s="21"/>
      <c r="O82" s="26" t="s">
        <v>13</v>
      </c>
      <c r="P82" s="27" t="s">
        <v>112</v>
      </c>
      <c r="Q82" s="21"/>
      <c r="R82" s="21"/>
      <c r="S82" s="32" t="str">
        <f>"630,0"</f>
        <v>630,0</v>
      </c>
      <c r="T82" s="21" t="str">
        <f>"400,4280"</f>
        <v>400,4280</v>
      </c>
      <c r="U82" s="20" t="s">
        <v>151</v>
      </c>
    </row>
    <row r="83" spans="1:21">
      <c r="A83" s="21" t="s">
        <v>189</v>
      </c>
      <c r="B83" s="20" t="s">
        <v>376</v>
      </c>
      <c r="C83" s="20" t="s">
        <v>377</v>
      </c>
      <c r="D83" s="20" t="s">
        <v>62</v>
      </c>
      <c r="E83" s="20" t="s">
        <v>1509</v>
      </c>
      <c r="F83" s="20" t="s">
        <v>1403</v>
      </c>
      <c r="G83" s="26" t="s">
        <v>65</v>
      </c>
      <c r="H83" s="26" t="s">
        <v>96</v>
      </c>
      <c r="I83" s="26" t="s">
        <v>76</v>
      </c>
      <c r="J83" s="21"/>
      <c r="K83" s="26" t="s">
        <v>134</v>
      </c>
      <c r="L83" s="26" t="s">
        <v>341</v>
      </c>
      <c r="M83" s="27" t="s">
        <v>357</v>
      </c>
      <c r="N83" s="21"/>
      <c r="O83" s="26" t="s">
        <v>83</v>
      </c>
      <c r="P83" s="26" t="s">
        <v>18</v>
      </c>
      <c r="Q83" s="27" t="s">
        <v>86</v>
      </c>
      <c r="R83" s="21"/>
      <c r="S83" s="32" t="str">
        <f>"615,0"</f>
        <v>615,0</v>
      </c>
      <c r="T83" s="21" t="str">
        <f>"376,2570"</f>
        <v>376,2570</v>
      </c>
      <c r="U83" s="20" t="s">
        <v>315</v>
      </c>
    </row>
    <row r="84" spans="1:21">
      <c r="A84" s="21" t="s">
        <v>190</v>
      </c>
      <c r="B84" s="20" t="s">
        <v>378</v>
      </c>
      <c r="C84" s="20" t="s">
        <v>379</v>
      </c>
      <c r="D84" s="20" t="s">
        <v>380</v>
      </c>
      <c r="E84" s="20" t="s">
        <v>1509</v>
      </c>
      <c r="F84" s="20" t="s">
        <v>1421</v>
      </c>
      <c r="G84" s="26" t="s">
        <v>72</v>
      </c>
      <c r="H84" s="26" t="s">
        <v>64</v>
      </c>
      <c r="I84" s="26" t="s">
        <v>381</v>
      </c>
      <c r="J84" s="21"/>
      <c r="K84" s="26" t="s">
        <v>58</v>
      </c>
      <c r="L84" s="26" t="s">
        <v>41</v>
      </c>
      <c r="M84" s="27" t="s">
        <v>97</v>
      </c>
      <c r="N84" s="21"/>
      <c r="O84" s="26" t="s">
        <v>66</v>
      </c>
      <c r="P84" s="26" t="s">
        <v>78</v>
      </c>
      <c r="Q84" s="27" t="s">
        <v>319</v>
      </c>
      <c r="R84" s="21"/>
      <c r="S84" s="32" t="str">
        <f>"537,5"</f>
        <v>537,5</v>
      </c>
      <c r="T84" s="21" t="str">
        <f>"334,3250"</f>
        <v>334,3250</v>
      </c>
      <c r="U84" s="20" t="s">
        <v>382</v>
      </c>
    </row>
    <row r="85" spans="1:21">
      <c r="A85" s="21" t="s">
        <v>29</v>
      </c>
      <c r="B85" s="20" t="s">
        <v>383</v>
      </c>
      <c r="C85" s="20" t="s">
        <v>1327</v>
      </c>
      <c r="D85" s="20" t="s">
        <v>384</v>
      </c>
      <c r="E85" s="20" t="s">
        <v>1511</v>
      </c>
      <c r="F85" s="20" t="s">
        <v>1421</v>
      </c>
      <c r="G85" s="26" t="s">
        <v>72</v>
      </c>
      <c r="H85" s="26" t="s">
        <v>65</v>
      </c>
      <c r="I85" s="26" t="s">
        <v>385</v>
      </c>
      <c r="J85" s="21"/>
      <c r="K85" s="26" t="s">
        <v>42</v>
      </c>
      <c r="L85" s="26" t="s">
        <v>43</v>
      </c>
      <c r="M85" s="26" t="s">
        <v>158</v>
      </c>
      <c r="N85" s="21"/>
      <c r="O85" s="26" t="s">
        <v>66</v>
      </c>
      <c r="P85" s="26" t="s">
        <v>386</v>
      </c>
      <c r="Q85" s="26" t="s">
        <v>103</v>
      </c>
      <c r="R85" s="21"/>
      <c r="S85" s="32" t="str">
        <f>"580,0"</f>
        <v>580,0</v>
      </c>
      <c r="T85" s="21" t="str">
        <f>"363,5871"</f>
        <v>363,5871</v>
      </c>
      <c r="U85" s="20" t="s">
        <v>387</v>
      </c>
    </row>
    <row r="86" spans="1:21">
      <c r="A86" s="21" t="s">
        <v>189</v>
      </c>
      <c r="B86" s="20" t="s">
        <v>388</v>
      </c>
      <c r="C86" s="20" t="s">
        <v>1328</v>
      </c>
      <c r="D86" s="20" t="s">
        <v>389</v>
      </c>
      <c r="E86" s="20" t="s">
        <v>1511</v>
      </c>
      <c r="F86" s="20" t="s">
        <v>1422</v>
      </c>
      <c r="G86" s="26" t="s">
        <v>66</v>
      </c>
      <c r="H86" s="26" t="s">
        <v>108</v>
      </c>
      <c r="I86" s="26" t="s">
        <v>77</v>
      </c>
      <c r="J86" s="21"/>
      <c r="K86" s="27" t="s">
        <v>58</v>
      </c>
      <c r="L86" s="26" t="s">
        <v>58</v>
      </c>
      <c r="M86" s="27" t="s">
        <v>214</v>
      </c>
      <c r="N86" s="21"/>
      <c r="O86" s="26" t="s">
        <v>108</v>
      </c>
      <c r="P86" s="26" t="s">
        <v>78</v>
      </c>
      <c r="Q86" s="27" t="s">
        <v>83</v>
      </c>
      <c r="R86" s="21"/>
      <c r="S86" s="32" t="str">
        <f>"555,0"</f>
        <v>555,0</v>
      </c>
      <c r="T86" s="21" t="str">
        <f>"345,6532"</f>
        <v>345,6532</v>
      </c>
      <c r="U86" s="20" t="s">
        <v>315</v>
      </c>
    </row>
    <row r="87" spans="1:21">
      <c r="A87" s="19" t="s">
        <v>29</v>
      </c>
      <c r="B87" s="18" t="s">
        <v>390</v>
      </c>
      <c r="C87" s="18" t="s">
        <v>1329</v>
      </c>
      <c r="D87" s="18" t="s">
        <v>391</v>
      </c>
      <c r="E87" s="18" t="s">
        <v>1515</v>
      </c>
      <c r="F87" s="18" t="s">
        <v>1423</v>
      </c>
      <c r="G87" s="25" t="s">
        <v>58</v>
      </c>
      <c r="H87" s="24" t="s">
        <v>58</v>
      </c>
      <c r="I87" s="24" t="s">
        <v>274</v>
      </c>
      <c r="J87" s="24" t="s">
        <v>282</v>
      </c>
      <c r="K87" s="24" t="s">
        <v>51</v>
      </c>
      <c r="L87" s="24" t="s">
        <v>59</v>
      </c>
      <c r="M87" s="24" t="s">
        <v>204</v>
      </c>
      <c r="N87" s="19"/>
      <c r="O87" s="24" t="s">
        <v>43</v>
      </c>
      <c r="P87" s="24" t="s">
        <v>119</v>
      </c>
      <c r="Q87" s="24" t="s">
        <v>63</v>
      </c>
      <c r="R87" s="24" t="s">
        <v>84</v>
      </c>
      <c r="S87" s="30" t="str">
        <f>"377,5"</f>
        <v>377,5</v>
      </c>
      <c r="T87" s="19" t="str">
        <f>"444,2647"</f>
        <v>444,2647</v>
      </c>
      <c r="U87" s="18" t="s">
        <v>315</v>
      </c>
    </row>
    <row r="88" spans="1:21">
      <c r="B88" s="5" t="s">
        <v>30</v>
      </c>
    </row>
    <row r="89" spans="1:21" ht="16">
      <c r="A89" s="33" t="s">
        <v>10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21">
      <c r="A90" s="17" t="s">
        <v>29</v>
      </c>
      <c r="B90" s="16" t="s">
        <v>392</v>
      </c>
      <c r="C90" s="16" t="s">
        <v>393</v>
      </c>
      <c r="D90" s="16" t="s">
        <v>394</v>
      </c>
      <c r="E90" s="16" t="s">
        <v>1509</v>
      </c>
      <c r="F90" s="16" t="s">
        <v>1403</v>
      </c>
      <c r="G90" s="22" t="s">
        <v>112</v>
      </c>
      <c r="H90" s="22" t="s">
        <v>86</v>
      </c>
      <c r="I90" s="22" t="s">
        <v>120</v>
      </c>
      <c r="J90" s="17"/>
      <c r="K90" s="22" t="s">
        <v>64</v>
      </c>
      <c r="L90" s="23" t="s">
        <v>65</v>
      </c>
      <c r="M90" s="23" t="s">
        <v>65</v>
      </c>
      <c r="N90" s="17"/>
      <c r="O90" s="22" t="s">
        <v>112</v>
      </c>
      <c r="P90" s="23" t="s">
        <v>86</v>
      </c>
      <c r="Q90" s="23" t="s">
        <v>86</v>
      </c>
      <c r="R90" s="17"/>
      <c r="S90" s="29" t="str">
        <f>"695,0"</f>
        <v>695,0</v>
      </c>
      <c r="T90" s="17" t="str">
        <f>"417,4170"</f>
        <v>417,4170</v>
      </c>
      <c r="U90" s="16" t="s">
        <v>395</v>
      </c>
    </row>
    <row r="91" spans="1:21">
      <c r="A91" s="21" t="s">
        <v>189</v>
      </c>
      <c r="B91" s="20" t="s">
        <v>396</v>
      </c>
      <c r="C91" s="20" t="s">
        <v>397</v>
      </c>
      <c r="D91" s="20" t="s">
        <v>398</v>
      </c>
      <c r="E91" s="20" t="s">
        <v>1509</v>
      </c>
      <c r="F91" s="20" t="s">
        <v>1424</v>
      </c>
      <c r="G91" s="26" t="s">
        <v>78</v>
      </c>
      <c r="H91" s="26" t="s">
        <v>16</v>
      </c>
      <c r="I91" s="26" t="s">
        <v>17</v>
      </c>
      <c r="J91" s="21"/>
      <c r="K91" s="26" t="s">
        <v>119</v>
      </c>
      <c r="L91" s="27" t="s">
        <v>63</v>
      </c>
      <c r="M91" s="27" t="s">
        <v>63</v>
      </c>
      <c r="N91" s="21"/>
      <c r="O91" s="26" t="s">
        <v>16</v>
      </c>
      <c r="P91" s="26" t="s">
        <v>13</v>
      </c>
      <c r="Q91" s="26" t="s">
        <v>112</v>
      </c>
      <c r="R91" s="21"/>
      <c r="S91" s="32" t="str">
        <f>"640,0"</f>
        <v>640,0</v>
      </c>
      <c r="T91" s="21" t="str">
        <f>"377,0880"</f>
        <v>377,0880</v>
      </c>
      <c r="U91" s="20" t="s">
        <v>315</v>
      </c>
    </row>
    <row r="92" spans="1:21">
      <c r="A92" s="21" t="s">
        <v>190</v>
      </c>
      <c r="B92" s="20" t="s">
        <v>399</v>
      </c>
      <c r="C92" s="20" t="s">
        <v>400</v>
      </c>
      <c r="D92" s="20" t="s">
        <v>401</v>
      </c>
      <c r="E92" s="20" t="s">
        <v>1509</v>
      </c>
      <c r="F92" s="20" t="s">
        <v>1425</v>
      </c>
      <c r="G92" s="26" t="s">
        <v>66</v>
      </c>
      <c r="H92" s="26" t="s">
        <v>78</v>
      </c>
      <c r="I92" s="27" t="s">
        <v>319</v>
      </c>
      <c r="J92" s="21"/>
      <c r="K92" s="26" t="s">
        <v>63</v>
      </c>
      <c r="L92" s="26" t="s">
        <v>357</v>
      </c>
      <c r="M92" s="26" t="s">
        <v>364</v>
      </c>
      <c r="N92" s="21"/>
      <c r="O92" s="26" t="s">
        <v>78</v>
      </c>
      <c r="P92" s="26" t="s">
        <v>17</v>
      </c>
      <c r="Q92" s="27" t="s">
        <v>18</v>
      </c>
      <c r="R92" s="21"/>
      <c r="S92" s="32" t="str">
        <f>"627,5"</f>
        <v>627,5</v>
      </c>
      <c r="T92" s="21" t="str">
        <f>"375,8725"</f>
        <v>375,8725</v>
      </c>
      <c r="U92" s="20" t="s">
        <v>315</v>
      </c>
    </row>
    <row r="93" spans="1:21">
      <c r="A93" s="21" t="s">
        <v>437</v>
      </c>
      <c r="B93" s="20" t="s">
        <v>402</v>
      </c>
      <c r="C93" s="20" t="s">
        <v>403</v>
      </c>
      <c r="D93" s="20" t="s">
        <v>404</v>
      </c>
      <c r="E93" s="20" t="s">
        <v>1509</v>
      </c>
      <c r="F93" s="20" t="s">
        <v>1426</v>
      </c>
      <c r="G93" s="26" t="s">
        <v>91</v>
      </c>
      <c r="H93" s="26" t="s">
        <v>77</v>
      </c>
      <c r="I93" s="26" t="s">
        <v>83</v>
      </c>
      <c r="J93" s="21"/>
      <c r="K93" s="26" t="s">
        <v>111</v>
      </c>
      <c r="L93" s="26" t="s">
        <v>134</v>
      </c>
      <c r="M93" s="27" t="s">
        <v>119</v>
      </c>
      <c r="N93" s="21"/>
      <c r="O93" s="26" t="s">
        <v>13</v>
      </c>
      <c r="P93" s="27" t="s">
        <v>112</v>
      </c>
      <c r="Q93" s="27" t="s">
        <v>112</v>
      </c>
      <c r="R93" s="21"/>
      <c r="S93" s="32" t="str">
        <f>"617,5"</f>
        <v>617,5</v>
      </c>
      <c r="T93" s="21" t="str">
        <f>"367,6595"</f>
        <v>367,6595</v>
      </c>
      <c r="U93" s="20" t="s">
        <v>1398</v>
      </c>
    </row>
    <row r="94" spans="1:21">
      <c r="A94" s="19" t="s">
        <v>29</v>
      </c>
      <c r="B94" s="18" t="s">
        <v>405</v>
      </c>
      <c r="C94" s="18" t="s">
        <v>1248</v>
      </c>
      <c r="D94" s="18" t="s">
        <v>12</v>
      </c>
      <c r="E94" s="18" t="s">
        <v>1511</v>
      </c>
      <c r="F94" s="18" t="s">
        <v>1403</v>
      </c>
      <c r="G94" s="24" t="s">
        <v>90</v>
      </c>
      <c r="H94" s="24" t="s">
        <v>66</v>
      </c>
      <c r="I94" s="24" t="s">
        <v>76</v>
      </c>
      <c r="J94" s="19"/>
      <c r="K94" s="25" t="s">
        <v>119</v>
      </c>
      <c r="L94" s="24" t="s">
        <v>119</v>
      </c>
      <c r="M94" s="25" t="s">
        <v>357</v>
      </c>
      <c r="N94" s="19"/>
      <c r="O94" s="25" t="s">
        <v>108</v>
      </c>
      <c r="P94" s="24" t="s">
        <v>108</v>
      </c>
      <c r="Q94" s="24" t="s">
        <v>78</v>
      </c>
      <c r="R94" s="19"/>
      <c r="S94" s="30" t="str">
        <f>"582,5"</f>
        <v>582,5</v>
      </c>
      <c r="T94" s="19" t="str">
        <f>"349,1952"</f>
        <v>349,1952</v>
      </c>
      <c r="U94" s="18" t="s">
        <v>315</v>
      </c>
    </row>
    <row r="95" spans="1:21">
      <c r="B95" s="5" t="s">
        <v>30</v>
      </c>
    </row>
    <row r="96" spans="1:21" ht="16">
      <c r="A96" s="33" t="s">
        <v>148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1:21">
      <c r="A97" s="17" t="s">
        <v>29</v>
      </c>
      <c r="B97" s="16" t="s">
        <v>406</v>
      </c>
      <c r="C97" s="16" t="s">
        <v>407</v>
      </c>
      <c r="D97" s="16" t="s">
        <v>408</v>
      </c>
      <c r="E97" s="16" t="s">
        <v>1509</v>
      </c>
      <c r="F97" s="16" t="s">
        <v>1427</v>
      </c>
      <c r="G97" s="23" t="s">
        <v>125</v>
      </c>
      <c r="H97" s="22" t="s">
        <v>125</v>
      </c>
      <c r="I97" s="23" t="s">
        <v>409</v>
      </c>
      <c r="J97" s="17"/>
      <c r="K97" s="22" t="s">
        <v>84</v>
      </c>
      <c r="L97" s="22" t="s">
        <v>85</v>
      </c>
      <c r="M97" s="23" t="s">
        <v>74</v>
      </c>
      <c r="N97" s="17"/>
      <c r="O97" s="22" t="s">
        <v>125</v>
      </c>
      <c r="P97" s="22" t="s">
        <v>174</v>
      </c>
      <c r="Q97" s="22" t="s">
        <v>135</v>
      </c>
      <c r="R97" s="17"/>
      <c r="S97" s="29" t="str">
        <f>"757,5"</f>
        <v>757,5</v>
      </c>
      <c r="T97" s="17" t="str">
        <f>"436,6987"</f>
        <v>436,6987</v>
      </c>
      <c r="U97" s="16" t="s">
        <v>315</v>
      </c>
    </row>
    <row r="98" spans="1:21">
      <c r="A98" s="19" t="s">
        <v>29</v>
      </c>
      <c r="B98" s="18" t="s">
        <v>410</v>
      </c>
      <c r="C98" s="18" t="s">
        <v>1330</v>
      </c>
      <c r="D98" s="18" t="s">
        <v>411</v>
      </c>
      <c r="E98" s="18" t="s">
        <v>1511</v>
      </c>
      <c r="F98" s="18" t="s">
        <v>1428</v>
      </c>
      <c r="G98" s="24" t="s">
        <v>111</v>
      </c>
      <c r="H98" s="24" t="s">
        <v>119</v>
      </c>
      <c r="I98" s="24" t="s">
        <v>341</v>
      </c>
      <c r="J98" s="19"/>
      <c r="K98" s="24" t="s">
        <v>111</v>
      </c>
      <c r="L98" s="24" t="s">
        <v>119</v>
      </c>
      <c r="M98" s="19"/>
      <c r="N98" s="19"/>
      <c r="O98" s="24" t="s">
        <v>64</v>
      </c>
      <c r="P98" s="24" t="s">
        <v>385</v>
      </c>
      <c r="Q98" s="19"/>
      <c r="R98" s="19"/>
      <c r="S98" s="30" t="str">
        <f>"512,5"</f>
        <v>512,5</v>
      </c>
      <c r="T98" s="19" t="str">
        <f>"301,5691"</f>
        <v>301,5691</v>
      </c>
      <c r="U98" s="18" t="s">
        <v>315</v>
      </c>
    </row>
    <row r="99" spans="1:21">
      <c r="B99" s="5" t="s">
        <v>30</v>
      </c>
    </row>
    <row r="100" spans="1:21" ht="16">
      <c r="A100" s="33" t="s">
        <v>164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</row>
    <row r="101" spans="1:21">
      <c r="A101" s="8" t="s">
        <v>29</v>
      </c>
      <c r="B101" s="7" t="s">
        <v>412</v>
      </c>
      <c r="C101" s="7" t="s">
        <v>413</v>
      </c>
      <c r="D101" s="7" t="s">
        <v>414</v>
      </c>
      <c r="E101" s="7" t="s">
        <v>1509</v>
      </c>
      <c r="F101" s="7" t="s">
        <v>1429</v>
      </c>
      <c r="G101" s="14" t="s">
        <v>13</v>
      </c>
      <c r="H101" s="14" t="s">
        <v>112</v>
      </c>
      <c r="I101" s="14" t="s">
        <v>86</v>
      </c>
      <c r="J101" s="8"/>
      <c r="K101" s="14" t="s">
        <v>63</v>
      </c>
      <c r="L101" s="14" t="s">
        <v>357</v>
      </c>
      <c r="M101" s="15" t="s">
        <v>364</v>
      </c>
      <c r="N101" s="8"/>
      <c r="O101" s="14" t="s">
        <v>13</v>
      </c>
      <c r="P101" s="15" t="s">
        <v>112</v>
      </c>
      <c r="Q101" s="15" t="s">
        <v>112</v>
      </c>
      <c r="R101" s="8"/>
      <c r="S101" s="31" t="str">
        <f>"667,5"</f>
        <v>667,5</v>
      </c>
      <c r="T101" s="8" t="str">
        <f>"380,3415"</f>
        <v>380,3415</v>
      </c>
      <c r="U101" s="7" t="s">
        <v>415</v>
      </c>
    </row>
    <row r="102" spans="1:21">
      <c r="B102" s="5" t="s">
        <v>30</v>
      </c>
    </row>
    <row r="103" spans="1:21">
      <c r="B103" s="5" t="s">
        <v>30</v>
      </c>
    </row>
    <row r="104" spans="1:21">
      <c r="B104" s="5" t="s">
        <v>30</v>
      </c>
    </row>
    <row r="105" spans="1:21" ht="18">
      <c r="B105" s="9" t="s">
        <v>20</v>
      </c>
      <c r="C105" s="9"/>
      <c r="F105" s="3"/>
    </row>
    <row r="106" spans="1:21" ht="14">
      <c r="B106" s="11"/>
      <c r="C106" s="12" t="s">
        <v>175</v>
      </c>
      <c r="F106" s="3"/>
    </row>
    <row r="107" spans="1:21" ht="14">
      <c r="B107" s="13" t="s">
        <v>23</v>
      </c>
      <c r="C107" s="13" t="s">
        <v>24</v>
      </c>
      <c r="D107" s="13" t="s">
        <v>1347</v>
      </c>
      <c r="E107" s="13" t="s">
        <v>26</v>
      </c>
      <c r="F107" s="13" t="s">
        <v>27</v>
      </c>
    </row>
    <row r="108" spans="1:21">
      <c r="B108" s="5" t="s">
        <v>227</v>
      </c>
      <c r="C108" s="5" t="s">
        <v>175</v>
      </c>
      <c r="D108" s="6" t="s">
        <v>418</v>
      </c>
      <c r="E108" s="6" t="s">
        <v>419</v>
      </c>
      <c r="F108" s="6" t="s">
        <v>420</v>
      </c>
    </row>
    <row r="109" spans="1:21">
      <c r="B109" s="5" t="s">
        <v>207</v>
      </c>
      <c r="C109" s="5" t="s">
        <v>175</v>
      </c>
      <c r="D109" s="6" t="s">
        <v>421</v>
      </c>
      <c r="E109" s="6" t="s">
        <v>422</v>
      </c>
      <c r="F109" s="6" t="s">
        <v>423</v>
      </c>
    </row>
    <row r="110" spans="1:21">
      <c r="B110" s="5" t="s">
        <v>233</v>
      </c>
      <c r="C110" s="5" t="s">
        <v>175</v>
      </c>
      <c r="D110" s="6" t="s">
        <v>418</v>
      </c>
      <c r="E110" s="6" t="s">
        <v>409</v>
      </c>
      <c r="F110" s="6" t="s">
        <v>424</v>
      </c>
    </row>
    <row r="112" spans="1:21" ht="16">
      <c r="B112" s="10" t="s">
        <v>21</v>
      </c>
      <c r="C112" s="10"/>
    </row>
    <row r="113" spans="2:6" ht="14">
      <c r="B113" s="11"/>
      <c r="C113" s="12" t="s">
        <v>175</v>
      </c>
    </row>
    <row r="114" spans="2:6" ht="14">
      <c r="B114" s="13" t="s">
        <v>23</v>
      </c>
      <c r="C114" s="13" t="s">
        <v>24</v>
      </c>
      <c r="D114" s="13" t="s">
        <v>1347</v>
      </c>
      <c r="E114" s="13" t="s">
        <v>26</v>
      </c>
      <c r="F114" s="13" t="s">
        <v>27</v>
      </c>
    </row>
    <row r="115" spans="2:6">
      <c r="B115" s="5" t="s">
        <v>310</v>
      </c>
      <c r="C115" s="5" t="s">
        <v>175</v>
      </c>
      <c r="D115" s="6" t="s">
        <v>417</v>
      </c>
      <c r="E115" s="6" t="s">
        <v>427</v>
      </c>
      <c r="F115" s="6" t="s">
        <v>428</v>
      </c>
    </row>
    <row r="116" spans="2:6">
      <c r="B116" s="5" t="s">
        <v>406</v>
      </c>
      <c r="C116" s="5" t="s">
        <v>175</v>
      </c>
      <c r="D116" s="6" t="s">
        <v>178</v>
      </c>
      <c r="E116" s="6" t="s">
        <v>429</v>
      </c>
      <c r="F116" s="6" t="s">
        <v>430</v>
      </c>
    </row>
    <row r="117" spans="2:6">
      <c r="B117" s="5" t="s">
        <v>334</v>
      </c>
      <c r="C117" s="5" t="s">
        <v>175</v>
      </c>
      <c r="D117" s="6" t="s">
        <v>182</v>
      </c>
      <c r="E117" s="6" t="s">
        <v>188</v>
      </c>
      <c r="F117" s="6" t="s">
        <v>431</v>
      </c>
    </row>
    <row r="119" spans="2:6" ht="14">
      <c r="B119" s="11"/>
      <c r="C119" s="12" t="s">
        <v>22</v>
      </c>
    </row>
    <row r="120" spans="2:6" ht="14">
      <c r="B120" s="13" t="s">
        <v>23</v>
      </c>
      <c r="C120" s="13" t="s">
        <v>24</v>
      </c>
      <c r="D120" s="13" t="s">
        <v>1347</v>
      </c>
      <c r="E120" s="13" t="s">
        <v>26</v>
      </c>
      <c r="F120" s="13" t="s">
        <v>27</v>
      </c>
    </row>
    <row r="121" spans="2:6">
      <c r="B121" s="5" t="s">
        <v>334</v>
      </c>
      <c r="C121" s="5" t="s">
        <v>1211</v>
      </c>
      <c r="D121" s="6" t="s">
        <v>182</v>
      </c>
      <c r="E121" s="6" t="s">
        <v>188</v>
      </c>
      <c r="F121" s="6" t="s">
        <v>432</v>
      </c>
    </row>
    <row r="122" spans="2:6">
      <c r="B122" s="5" t="s">
        <v>325</v>
      </c>
      <c r="C122" s="5" t="s">
        <v>1212</v>
      </c>
      <c r="D122" s="6" t="s">
        <v>426</v>
      </c>
      <c r="E122" s="6" t="s">
        <v>433</v>
      </c>
      <c r="F122" s="6" t="s">
        <v>434</v>
      </c>
    </row>
    <row r="123" spans="2:6">
      <c r="B123" s="5" t="s">
        <v>390</v>
      </c>
      <c r="C123" s="5" t="s">
        <v>1301</v>
      </c>
      <c r="D123" s="6" t="s">
        <v>179</v>
      </c>
      <c r="E123" s="6" t="s">
        <v>435</v>
      </c>
      <c r="F123" s="6" t="s">
        <v>436</v>
      </c>
    </row>
    <row r="124" spans="2:6">
      <c r="B124" s="5" t="s">
        <v>30</v>
      </c>
    </row>
  </sheetData>
  <mergeCells count="3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43:R43"/>
    <mergeCell ref="S3:S4"/>
    <mergeCell ref="T3:T4"/>
    <mergeCell ref="U3:U4"/>
    <mergeCell ref="A5:R5"/>
    <mergeCell ref="A80:R80"/>
    <mergeCell ref="A89:R89"/>
    <mergeCell ref="A96:R96"/>
    <mergeCell ref="A100:R100"/>
    <mergeCell ref="B3:B4"/>
    <mergeCell ref="A46:R46"/>
    <mergeCell ref="A49:R49"/>
    <mergeCell ref="A52:R52"/>
    <mergeCell ref="A55:R55"/>
    <mergeCell ref="A62:R62"/>
    <mergeCell ref="A71:R71"/>
    <mergeCell ref="A10:R10"/>
    <mergeCell ref="A15:R15"/>
    <mergeCell ref="A23:R23"/>
    <mergeCell ref="A30:R30"/>
    <mergeCell ref="A34:R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9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1640625" style="5" customWidth="1"/>
    <col min="14" max="16384" width="9.1640625" style="3"/>
  </cols>
  <sheetData>
    <row r="1" spans="1:13" s="2" customFormat="1" ht="29" customHeight="1">
      <c r="A1" s="44" t="s">
        <v>1360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7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462</v>
      </c>
      <c r="C6" s="7" t="s">
        <v>463</v>
      </c>
      <c r="D6" s="7" t="s">
        <v>464</v>
      </c>
      <c r="E6" s="7" t="s">
        <v>1509</v>
      </c>
      <c r="F6" s="7" t="s">
        <v>1434</v>
      </c>
      <c r="G6" s="14" t="s">
        <v>159</v>
      </c>
      <c r="H6" s="14" t="s">
        <v>465</v>
      </c>
      <c r="I6" s="15" t="s">
        <v>466</v>
      </c>
      <c r="J6" s="8"/>
      <c r="K6" s="8" t="str">
        <f>"310,0"</f>
        <v>310,0</v>
      </c>
      <c r="L6" s="8" t="str">
        <f>"183,6130"</f>
        <v>183,6130</v>
      </c>
      <c r="M6" s="7" t="s">
        <v>467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M145"/>
  <sheetViews>
    <sheetView topLeftCell="A30" workbookViewId="0">
      <selection activeCell="E122" sqref="E122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30.33203125" style="5" bestFit="1" customWidth="1"/>
    <col min="14" max="16384" width="9.1640625" style="3"/>
  </cols>
  <sheetData>
    <row r="1" spans="1:13" s="2" customFormat="1" ht="29" customHeight="1">
      <c r="A1" s="44" t="s">
        <v>1370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6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7"/>
      <c r="L4" s="39"/>
      <c r="M4" s="41"/>
    </row>
    <row r="5" spans="1:13" ht="16">
      <c r="A5" s="42" t="s">
        <v>192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199</v>
      </c>
      <c r="C6" s="7" t="s">
        <v>200</v>
      </c>
      <c r="D6" s="7" t="s">
        <v>201</v>
      </c>
      <c r="E6" s="7" t="s">
        <v>1509</v>
      </c>
      <c r="F6" s="7" t="s">
        <v>202</v>
      </c>
      <c r="G6" s="15" t="s">
        <v>203</v>
      </c>
      <c r="H6" s="14" t="s">
        <v>203</v>
      </c>
      <c r="I6" s="14" t="s">
        <v>39</v>
      </c>
      <c r="J6" s="8"/>
      <c r="K6" s="31" t="str">
        <f>"65,0"</f>
        <v>65,0</v>
      </c>
      <c r="L6" s="8" t="str">
        <f>"95,5630"</f>
        <v>95,5630</v>
      </c>
      <c r="M6" s="7" t="s">
        <v>315</v>
      </c>
    </row>
    <row r="7" spans="1:13">
      <c r="B7" s="5" t="s">
        <v>30</v>
      </c>
    </row>
    <row r="8" spans="1:13" ht="16">
      <c r="A8" s="33" t="s">
        <v>206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7" t="s">
        <v>29</v>
      </c>
      <c r="B9" s="16" t="s">
        <v>479</v>
      </c>
      <c r="C9" s="16" t="s">
        <v>480</v>
      </c>
      <c r="D9" s="16" t="s">
        <v>222</v>
      </c>
      <c r="E9" s="16" t="s">
        <v>1509</v>
      </c>
      <c r="F9" s="16" t="s">
        <v>1434</v>
      </c>
      <c r="G9" s="22" t="s">
        <v>52</v>
      </c>
      <c r="H9" s="22" t="s">
        <v>220</v>
      </c>
      <c r="I9" s="23" t="s">
        <v>204</v>
      </c>
      <c r="J9" s="17"/>
      <c r="K9" s="29" t="str">
        <f>"87,5"</f>
        <v>87,5</v>
      </c>
      <c r="L9" s="17" t="str">
        <f>"116,0688"</f>
        <v>116,0688</v>
      </c>
      <c r="M9" s="16" t="s">
        <v>481</v>
      </c>
    </row>
    <row r="10" spans="1:13">
      <c r="A10" s="21" t="s">
        <v>189</v>
      </c>
      <c r="B10" s="20" t="s">
        <v>207</v>
      </c>
      <c r="C10" s="20" t="s">
        <v>208</v>
      </c>
      <c r="D10" s="20" t="s">
        <v>209</v>
      </c>
      <c r="E10" s="20" t="s">
        <v>1509</v>
      </c>
      <c r="F10" s="20" t="s">
        <v>1401</v>
      </c>
      <c r="G10" s="26" t="s">
        <v>211</v>
      </c>
      <c r="H10" s="26" t="s">
        <v>212</v>
      </c>
      <c r="I10" s="26" t="s">
        <v>38</v>
      </c>
      <c r="J10" s="21"/>
      <c r="K10" s="32" t="str">
        <f>"62,5"</f>
        <v>62,5</v>
      </c>
      <c r="L10" s="21" t="str">
        <f>"84,0563"</f>
        <v>84,0563</v>
      </c>
      <c r="M10" s="20" t="s">
        <v>315</v>
      </c>
    </row>
    <row r="11" spans="1:13">
      <c r="A11" s="19" t="s">
        <v>190</v>
      </c>
      <c r="B11" s="18" t="s">
        <v>215</v>
      </c>
      <c r="C11" s="18" t="s">
        <v>216</v>
      </c>
      <c r="D11" s="18" t="s">
        <v>217</v>
      </c>
      <c r="E11" s="18" t="s">
        <v>1509</v>
      </c>
      <c r="F11" s="18" t="s">
        <v>1402</v>
      </c>
      <c r="G11" s="25" t="s">
        <v>218</v>
      </c>
      <c r="H11" s="24" t="s">
        <v>218</v>
      </c>
      <c r="I11" s="24" t="s">
        <v>219</v>
      </c>
      <c r="J11" s="19"/>
      <c r="K11" s="30" t="str">
        <f>"52,5"</f>
        <v>52,5</v>
      </c>
      <c r="L11" s="19" t="str">
        <f>"70,0665"</f>
        <v>70,0665</v>
      </c>
      <c r="M11" s="18" t="s">
        <v>623</v>
      </c>
    </row>
    <row r="12" spans="1:13">
      <c r="B12" s="5" t="s">
        <v>30</v>
      </c>
    </row>
    <row r="13" spans="1:13" ht="16">
      <c r="A13" s="33" t="s">
        <v>226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3">
      <c r="A14" s="8" t="s">
        <v>29</v>
      </c>
      <c r="B14" s="7" t="s">
        <v>586</v>
      </c>
      <c r="C14" s="7" t="s">
        <v>587</v>
      </c>
      <c r="D14" s="7" t="s">
        <v>248</v>
      </c>
      <c r="E14" s="7" t="s">
        <v>1509</v>
      </c>
      <c r="F14" s="7" t="s">
        <v>1453</v>
      </c>
      <c r="G14" s="14" t="s">
        <v>212</v>
      </c>
      <c r="H14" s="14" t="s">
        <v>38</v>
      </c>
      <c r="I14" s="14" t="s">
        <v>39</v>
      </c>
      <c r="J14" s="8"/>
      <c r="K14" s="31" t="str">
        <f>"65,0"</f>
        <v>65,0</v>
      </c>
      <c r="L14" s="8" t="str">
        <f>"82,9985"</f>
        <v>82,9985</v>
      </c>
      <c r="M14" s="7" t="s">
        <v>595</v>
      </c>
    </row>
    <row r="15" spans="1:13">
      <c r="B15" s="5" t="s">
        <v>30</v>
      </c>
    </row>
    <row r="16" spans="1:13" ht="16">
      <c r="A16" s="33" t="s">
        <v>31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3">
      <c r="A17" s="17" t="s">
        <v>29</v>
      </c>
      <c r="B17" s="16" t="s">
        <v>588</v>
      </c>
      <c r="C17" s="16" t="s">
        <v>589</v>
      </c>
      <c r="D17" s="16" t="s">
        <v>590</v>
      </c>
      <c r="E17" s="16" t="s">
        <v>1509</v>
      </c>
      <c r="F17" s="16" t="s">
        <v>1454</v>
      </c>
      <c r="G17" s="22" t="s">
        <v>52</v>
      </c>
      <c r="H17" s="22" t="s">
        <v>59</v>
      </c>
      <c r="I17" s="23" t="s">
        <v>204</v>
      </c>
      <c r="J17" s="17"/>
      <c r="K17" s="29" t="str">
        <f>"85,0"</f>
        <v>85,0</v>
      </c>
      <c r="L17" s="17" t="str">
        <f>"101,5750"</f>
        <v>101,5750</v>
      </c>
      <c r="M17" s="16" t="s">
        <v>591</v>
      </c>
    </row>
    <row r="18" spans="1:13">
      <c r="A18" s="21" t="s">
        <v>189</v>
      </c>
      <c r="B18" s="20" t="s">
        <v>592</v>
      </c>
      <c r="C18" s="20" t="s">
        <v>593</v>
      </c>
      <c r="D18" s="20" t="s">
        <v>594</v>
      </c>
      <c r="E18" s="20" t="s">
        <v>1509</v>
      </c>
      <c r="F18" s="20" t="s">
        <v>1453</v>
      </c>
      <c r="G18" s="26" t="s">
        <v>236</v>
      </c>
      <c r="H18" s="26" t="s">
        <v>38</v>
      </c>
      <c r="I18" s="27" t="s">
        <v>39</v>
      </c>
      <c r="J18" s="21"/>
      <c r="K18" s="32" t="str">
        <f>"62,5"</f>
        <v>62,5</v>
      </c>
      <c r="L18" s="21" t="str">
        <f>"75,1188"</f>
        <v>75,1188</v>
      </c>
      <c r="M18" s="20" t="s">
        <v>595</v>
      </c>
    </row>
    <row r="19" spans="1:13">
      <c r="A19" s="21" t="s">
        <v>190</v>
      </c>
      <c r="B19" s="20" t="s">
        <v>596</v>
      </c>
      <c r="C19" s="20" t="s">
        <v>597</v>
      </c>
      <c r="D19" s="20" t="s">
        <v>262</v>
      </c>
      <c r="E19" s="20" t="s">
        <v>1509</v>
      </c>
      <c r="F19" s="20" t="s">
        <v>1403</v>
      </c>
      <c r="G19" s="26" t="s">
        <v>236</v>
      </c>
      <c r="H19" s="26" t="s">
        <v>38</v>
      </c>
      <c r="I19" s="27" t="s">
        <v>39</v>
      </c>
      <c r="J19" s="21"/>
      <c r="K19" s="32" t="str">
        <f>"62,5"</f>
        <v>62,5</v>
      </c>
      <c r="L19" s="21" t="str">
        <f>"74,5813"</f>
        <v>74,5813</v>
      </c>
      <c r="M19" s="20" t="s">
        <v>1383</v>
      </c>
    </row>
    <row r="20" spans="1:13">
      <c r="A20" s="19" t="s">
        <v>437</v>
      </c>
      <c r="B20" s="18" t="s">
        <v>254</v>
      </c>
      <c r="C20" s="18" t="s">
        <v>255</v>
      </c>
      <c r="D20" s="18" t="s">
        <v>34</v>
      </c>
      <c r="E20" s="18" t="s">
        <v>1509</v>
      </c>
      <c r="F20" s="18" t="s">
        <v>1408</v>
      </c>
      <c r="G20" s="24" t="s">
        <v>211</v>
      </c>
      <c r="H20" s="25" t="s">
        <v>212</v>
      </c>
      <c r="I20" s="25" t="s">
        <v>212</v>
      </c>
      <c r="J20" s="19"/>
      <c r="K20" s="30" t="str">
        <f>"55,0"</f>
        <v>55,0</v>
      </c>
      <c r="L20" s="19" t="str">
        <f>"64,8065"</f>
        <v>64,8065</v>
      </c>
      <c r="M20" s="18" t="s">
        <v>256</v>
      </c>
    </row>
    <row r="21" spans="1:13">
      <c r="B21" s="5" t="s">
        <v>30</v>
      </c>
    </row>
    <row r="22" spans="1:13" ht="16">
      <c r="A22" s="33" t="s">
        <v>45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3">
      <c r="A23" s="17" t="s">
        <v>29</v>
      </c>
      <c r="B23" s="16" t="s">
        <v>598</v>
      </c>
      <c r="C23" s="16" t="s">
        <v>599</v>
      </c>
      <c r="D23" s="16" t="s">
        <v>600</v>
      </c>
      <c r="E23" s="16" t="s">
        <v>1508</v>
      </c>
      <c r="F23" s="16" t="s">
        <v>1430</v>
      </c>
      <c r="G23" s="22" t="s">
        <v>219</v>
      </c>
      <c r="H23" s="22" t="s">
        <v>236</v>
      </c>
      <c r="I23" s="23" t="s">
        <v>212</v>
      </c>
      <c r="J23" s="17"/>
      <c r="K23" s="29" t="str">
        <f>"57,5"</f>
        <v>57,5</v>
      </c>
      <c r="L23" s="17" t="str">
        <f>"64,1872"</f>
        <v>64,1872</v>
      </c>
      <c r="M23" s="16" t="s">
        <v>601</v>
      </c>
    </row>
    <row r="24" spans="1:13">
      <c r="A24" s="21" t="s">
        <v>29</v>
      </c>
      <c r="B24" s="20" t="s">
        <v>602</v>
      </c>
      <c r="C24" s="20" t="s">
        <v>603</v>
      </c>
      <c r="D24" s="20" t="s">
        <v>604</v>
      </c>
      <c r="E24" s="20" t="s">
        <v>1509</v>
      </c>
      <c r="F24" s="20" t="s">
        <v>1405</v>
      </c>
      <c r="G24" s="26" t="s">
        <v>245</v>
      </c>
      <c r="H24" s="26" t="s">
        <v>51</v>
      </c>
      <c r="I24" s="27" t="s">
        <v>52</v>
      </c>
      <c r="J24" s="21"/>
      <c r="K24" s="32" t="str">
        <f>"80,0"</f>
        <v>80,0</v>
      </c>
      <c r="L24" s="21" t="str">
        <f>"93,2160"</f>
        <v>93,2160</v>
      </c>
      <c r="M24" s="20" t="s">
        <v>605</v>
      </c>
    </row>
    <row r="25" spans="1:13">
      <c r="A25" s="21" t="s">
        <v>189</v>
      </c>
      <c r="B25" s="20" t="s">
        <v>606</v>
      </c>
      <c r="C25" s="20" t="s">
        <v>607</v>
      </c>
      <c r="D25" s="20" t="s">
        <v>488</v>
      </c>
      <c r="E25" s="20" t="s">
        <v>1509</v>
      </c>
      <c r="F25" s="20" t="s">
        <v>1412</v>
      </c>
      <c r="G25" s="26" t="s">
        <v>171</v>
      </c>
      <c r="H25" s="27" t="s">
        <v>245</v>
      </c>
      <c r="I25" s="27" t="s">
        <v>245</v>
      </c>
      <c r="J25" s="21"/>
      <c r="K25" s="32" t="str">
        <f>"70,0"</f>
        <v>70,0</v>
      </c>
      <c r="L25" s="21" t="str">
        <f>"79,0650"</f>
        <v>79,0650</v>
      </c>
      <c r="M25" s="20" t="s">
        <v>626</v>
      </c>
    </row>
    <row r="26" spans="1:13">
      <c r="A26" s="21" t="s">
        <v>190</v>
      </c>
      <c r="B26" s="20" t="s">
        <v>608</v>
      </c>
      <c r="C26" s="20" t="s">
        <v>609</v>
      </c>
      <c r="D26" s="20" t="s">
        <v>600</v>
      </c>
      <c r="E26" s="20" t="s">
        <v>1509</v>
      </c>
      <c r="F26" s="20" t="s">
        <v>1402</v>
      </c>
      <c r="G26" s="27" t="s">
        <v>40</v>
      </c>
      <c r="H26" s="26" t="s">
        <v>40</v>
      </c>
      <c r="I26" s="27" t="s">
        <v>171</v>
      </c>
      <c r="J26" s="21"/>
      <c r="K26" s="32" t="str">
        <f>"67,5"</f>
        <v>67,5</v>
      </c>
      <c r="L26" s="21" t="str">
        <f>"75,3502"</f>
        <v>75,3502</v>
      </c>
      <c r="M26" s="20" t="s">
        <v>315</v>
      </c>
    </row>
    <row r="27" spans="1:13">
      <c r="A27" s="21" t="s">
        <v>191</v>
      </c>
      <c r="B27" s="20" t="s">
        <v>610</v>
      </c>
      <c r="C27" s="20" t="s">
        <v>611</v>
      </c>
      <c r="D27" s="20" t="s">
        <v>612</v>
      </c>
      <c r="E27" s="20" t="s">
        <v>1509</v>
      </c>
      <c r="F27" s="20" t="s">
        <v>1414</v>
      </c>
      <c r="G27" s="27" t="s">
        <v>244</v>
      </c>
      <c r="H27" s="27" t="s">
        <v>244</v>
      </c>
      <c r="I27" s="27" t="s">
        <v>244</v>
      </c>
      <c r="J27" s="21"/>
      <c r="K27" s="32" t="str">
        <f>"0.00"</f>
        <v>0.00</v>
      </c>
      <c r="L27" s="21" t="str">
        <f>"0,0000"</f>
        <v>0,0000</v>
      </c>
      <c r="M27" s="20" t="s">
        <v>613</v>
      </c>
    </row>
    <row r="28" spans="1:13">
      <c r="A28" s="21" t="s">
        <v>29</v>
      </c>
      <c r="B28" s="20" t="s">
        <v>606</v>
      </c>
      <c r="C28" s="20" t="s">
        <v>1275</v>
      </c>
      <c r="D28" s="20" t="s">
        <v>488</v>
      </c>
      <c r="E28" s="20" t="s">
        <v>1511</v>
      </c>
      <c r="F28" s="20" t="s">
        <v>1412</v>
      </c>
      <c r="G28" s="26" t="s">
        <v>171</v>
      </c>
      <c r="H28" s="27" t="s">
        <v>245</v>
      </c>
      <c r="I28" s="27" t="s">
        <v>245</v>
      </c>
      <c r="J28" s="21"/>
      <c r="K28" s="32" t="str">
        <f>"70,0"</f>
        <v>70,0</v>
      </c>
      <c r="L28" s="21" t="str">
        <f>"79,0650"</f>
        <v>79,0650</v>
      </c>
      <c r="M28" s="20" t="s">
        <v>626</v>
      </c>
    </row>
    <row r="29" spans="1:13">
      <c r="A29" s="19" t="s">
        <v>29</v>
      </c>
      <c r="B29" s="18" t="s">
        <v>614</v>
      </c>
      <c r="C29" s="18" t="s">
        <v>1244</v>
      </c>
      <c r="D29" s="18" t="s">
        <v>615</v>
      </c>
      <c r="E29" s="18" t="s">
        <v>1510</v>
      </c>
      <c r="F29" s="18" t="s">
        <v>1447</v>
      </c>
      <c r="G29" s="24" t="s">
        <v>223</v>
      </c>
      <c r="H29" s="24" t="s">
        <v>218</v>
      </c>
      <c r="I29" s="25" t="s">
        <v>236</v>
      </c>
      <c r="J29" s="19"/>
      <c r="K29" s="30" t="str">
        <f>"50,0"</f>
        <v>50,0</v>
      </c>
      <c r="L29" s="19" t="str">
        <f>"60,2494"</f>
        <v>60,2494</v>
      </c>
      <c r="M29" s="18" t="s">
        <v>616</v>
      </c>
    </row>
    <row r="30" spans="1:13">
      <c r="B30" s="5" t="s">
        <v>30</v>
      </c>
    </row>
    <row r="31" spans="1:13" ht="16">
      <c r="A31" s="33" t="s">
        <v>275</v>
      </c>
      <c r="B31" s="33"/>
      <c r="C31" s="33"/>
      <c r="D31" s="33"/>
      <c r="E31" s="33"/>
      <c r="F31" s="33"/>
      <c r="G31" s="33"/>
      <c r="H31" s="33"/>
      <c r="I31" s="33"/>
      <c r="J31" s="33"/>
    </row>
    <row r="32" spans="1:13">
      <c r="A32" s="17" t="s">
        <v>29</v>
      </c>
      <c r="B32" s="16" t="s">
        <v>617</v>
      </c>
      <c r="C32" s="16" t="s">
        <v>618</v>
      </c>
      <c r="D32" s="16" t="s">
        <v>312</v>
      </c>
      <c r="E32" s="16" t="s">
        <v>1509</v>
      </c>
      <c r="F32" s="16" t="s">
        <v>1403</v>
      </c>
      <c r="G32" s="23" t="s">
        <v>211</v>
      </c>
      <c r="H32" s="22" t="s">
        <v>211</v>
      </c>
      <c r="I32" s="22" t="s">
        <v>236</v>
      </c>
      <c r="J32" s="17"/>
      <c r="K32" s="29" t="str">
        <f>"57,5"</f>
        <v>57,5</v>
      </c>
      <c r="L32" s="17" t="str">
        <f>"59,3228"</f>
        <v>59,3228</v>
      </c>
      <c r="M32" s="16" t="s">
        <v>315</v>
      </c>
    </row>
    <row r="33" spans="1:13">
      <c r="A33" s="21" t="s">
        <v>191</v>
      </c>
      <c r="B33" s="20" t="s">
        <v>619</v>
      </c>
      <c r="C33" s="20" t="s">
        <v>620</v>
      </c>
      <c r="D33" s="20" t="s">
        <v>286</v>
      </c>
      <c r="E33" s="20" t="s">
        <v>1509</v>
      </c>
      <c r="F33" s="20" t="s">
        <v>1403</v>
      </c>
      <c r="G33" s="27" t="s">
        <v>39</v>
      </c>
      <c r="H33" s="27" t="s">
        <v>39</v>
      </c>
      <c r="I33" s="27" t="s">
        <v>283</v>
      </c>
      <c r="J33" s="21"/>
      <c r="K33" s="32">
        <v>0</v>
      </c>
      <c r="L33" s="21" t="str">
        <f>"0,0000"</f>
        <v>0,0000</v>
      </c>
      <c r="M33" s="20" t="s">
        <v>515</v>
      </c>
    </row>
    <row r="34" spans="1:13">
      <c r="A34" s="19" t="s">
        <v>29</v>
      </c>
      <c r="B34" s="18" t="s">
        <v>617</v>
      </c>
      <c r="C34" s="18" t="s">
        <v>1276</v>
      </c>
      <c r="D34" s="18" t="s">
        <v>312</v>
      </c>
      <c r="E34" s="18" t="s">
        <v>1511</v>
      </c>
      <c r="F34" s="18" t="s">
        <v>1403</v>
      </c>
      <c r="G34" s="25" t="s">
        <v>211</v>
      </c>
      <c r="H34" s="24" t="s">
        <v>211</v>
      </c>
      <c r="I34" s="24" t="s">
        <v>236</v>
      </c>
      <c r="J34" s="19"/>
      <c r="K34" s="30" t="str">
        <f>"57,5"</f>
        <v>57,5</v>
      </c>
      <c r="L34" s="19" t="str">
        <f>"59,3228"</f>
        <v>59,3228</v>
      </c>
      <c r="M34" s="18" t="s">
        <v>315</v>
      </c>
    </row>
    <row r="35" spans="1:13">
      <c r="B35" s="5" t="s">
        <v>30</v>
      </c>
    </row>
    <row r="36" spans="1:13" ht="16">
      <c r="A36" s="33" t="s">
        <v>98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3">
      <c r="A37" s="8" t="s">
        <v>29</v>
      </c>
      <c r="B37" s="7" t="s">
        <v>621</v>
      </c>
      <c r="C37" s="7" t="s">
        <v>1277</v>
      </c>
      <c r="D37" s="7" t="s">
        <v>622</v>
      </c>
      <c r="E37" s="7" t="s">
        <v>1511</v>
      </c>
      <c r="F37" s="7" t="s">
        <v>1402</v>
      </c>
      <c r="G37" s="15" t="s">
        <v>212</v>
      </c>
      <c r="H37" s="14" t="s">
        <v>212</v>
      </c>
      <c r="I37" s="15" t="s">
        <v>39</v>
      </c>
      <c r="J37" s="8"/>
      <c r="K37" s="31" t="str">
        <f>"60,0"</f>
        <v>60,0</v>
      </c>
      <c r="L37" s="8" t="str">
        <f>"53,7278"</f>
        <v>53,7278</v>
      </c>
      <c r="M37" s="7" t="s">
        <v>623</v>
      </c>
    </row>
    <row r="38" spans="1:13">
      <c r="B38" s="5" t="s">
        <v>30</v>
      </c>
    </row>
    <row r="39" spans="1:13" ht="16">
      <c r="A39" s="33" t="s">
        <v>54</v>
      </c>
      <c r="B39" s="33"/>
      <c r="C39" s="33"/>
      <c r="D39" s="33"/>
      <c r="E39" s="33"/>
      <c r="F39" s="33"/>
      <c r="G39" s="33"/>
      <c r="H39" s="33"/>
      <c r="I39" s="33"/>
      <c r="J39" s="33"/>
    </row>
    <row r="40" spans="1:13">
      <c r="A40" s="8" t="s">
        <v>29</v>
      </c>
      <c r="B40" s="7" t="s">
        <v>624</v>
      </c>
      <c r="C40" s="7" t="s">
        <v>1278</v>
      </c>
      <c r="D40" s="7" t="s">
        <v>625</v>
      </c>
      <c r="E40" s="7" t="s">
        <v>1511</v>
      </c>
      <c r="F40" s="7" t="s">
        <v>1403</v>
      </c>
      <c r="G40" s="14" t="s">
        <v>50</v>
      </c>
      <c r="H40" s="15" t="s">
        <v>51</v>
      </c>
      <c r="I40" s="15" t="s">
        <v>51</v>
      </c>
      <c r="J40" s="8"/>
      <c r="K40" s="31" t="str">
        <f>"75,0"</f>
        <v>75,0</v>
      </c>
      <c r="L40" s="8" t="str">
        <f>"60,7447"</f>
        <v>60,7447</v>
      </c>
      <c r="M40" s="7" t="s">
        <v>626</v>
      </c>
    </row>
    <row r="41" spans="1:13">
      <c r="B41" s="5" t="s">
        <v>30</v>
      </c>
    </row>
    <row r="42" spans="1:13" ht="16">
      <c r="A42" s="33" t="s">
        <v>45</v>
      </c>
      <c r="B42" s="33"/>
      <c r="C42" s="33"/>
      <c r="D42" s="33"/>
      <c r="E42" s="33"/>
      <c r="F42" s="33"/>
      <c r="G42" s="33"/>
      <c r="H42" s="33"/>
      <c r="I42" s="33"/>
      <c r="J42" s="33"/>
    </row>
    <row r="43" spans="1:13">
      <c r="A43" s="17" t="s">
        <v>29</v>
      </c>
      <c r="B43" s="16" t="s">
        <v>627</v>
      </c>
      <c r="C43" s="16" t="s">
        <v>628</v>
      </c>
      <c r="D43" s="16" t="s">
        <v>629</v>
      </c>
      <c r="E43" s="16" t="s">
        <v>1508</v>
      </c>
      <c r="F43" s="16" t="s">
        <v>1410</v>
      </c>
      <c r="G43" s="22" t="s">
        <v>219</v>
      </c>
      <c r="H43" s="22" t="s">
        <v>212</v>
      </c>
      <c r="I43" s="22" t="s">
        <v>40</v>
      </c>
      <c r="J43" s="17"/>
      <c r="K43" s="29" t="str">
        <f>"67,5"</f>
        <v>67,5</v>
      </c>
      <c r="L43" s="17" t="str">
        <f>"60,2033"</f>
        <v>60,2033</v>
      </c>
      <c r="M43" s="16" t="s">
        <v>279</v>
      </c>
    </row>
    <row r="44" spans="1:13">
      <c r="A44" s="21" t="s">
        <v>189</v>
      </c>
      <c r="B44" s="20" t="s">
        <v>630</v>
      </c>
      <c r="C44" s="20" t="s">
        <v>631</v>
      </c>
      <c r="D44" s="20" t="s">
        <v>632</v>
      </c>
      <c r="E44" s="20" t="s">
        <v>1508</v>
      </c>
      <c r="F44" s="20" t="s">
        <v>1410</v>
      </c>
      <c r="G44" s="26" t="s">
        <v>218</v>
      </c>
      <c r="H44" s="26" t="s">
        <v>211</v>
      </c>
      <c r="I44" s="26" t="s">
        <v>212</v>
      </c>
      <c r="J44" s="21"/>
      <c r="K44" s="32" t="str">
        <f>"60,0"</f>
        <v>60,0</v>
      </c>
      <c r="L44" s="21" t="str">
        <f>"52,8960"</f>
        <v>52,8960</v>
      </c>
      <c r="M44" s="20" t="s">
        <v>279</v>
      </c>
    </row>
    <row r="45" spans="1:13">
      <c r="A45" s="19" t="s">
        <v>29</v>
      </c>
      <c r="B45" s="18" t="s">
        <v>633</v>
      </c>
      <c r="C45" s="18" t="s">
        <v>634</v>
      </c>
      <c r="D45" s="18" t="s">
        <v>635</v>
      </c>
      <c r="E45" s="18" t="s">
        <v>1509</v>
      </c>
      <c r="F45" s="18" t="s">
        <v>1455</v>
      </c>
      <c r="G45" s="24" t="s">
        <v>198</v>
      </c>
      <c r="H45" s="24" t="s">
        <v>36</v>
      </c>
      <c r="I45" s="25" t="s">
        <v>224</v>
      </c>
      <c r="J45" s="19"/>
      <c r="K45" s="30" t="str">
        <f>"105,0"</f>
        <v>105,0</v>
      </c>
      <c r="L45" s="19" t="str">
        <f>"89,9640"</f>
        <v>89,9640</v>
      </c>
      <c r="M45" s="18" t="s">
        <v>315</v>
      </c>
    </row>
    <row r="46" spans="1:13">
      <c r="B46" s="5" t="s">
        <v>30</v>
      </c>
    </row>
    <row r="47" spans="1:13" ht="16">
      <c r="A47" s="33" t="s">
        <v>275</v>
      </c>
      <c r="B47" s="33"/>
      <c r="C47" s="33"/>
      <c r="D47" s="33"/>
      <c r="E47" s="33"/>
      <c r="F47" s="33"/>
      <c r="G47" s="33"/>
      <c r="H47" s="33"/>
      <c r="I47" s="33"/>
      <c r="J47" s="33"/>
    </row>
    <row r="48" spans="1:13">
      <c r="A48" s="17" t="s">
        <v>29</v>
      </c>
      <c r="B48" s="16" t="s">
        <v>636</v>
      </c>
      <c r="C48" s="16" t="s">
        <v>1229</v>
      </c>
      <c r="D48" s="16" t="s">
        <v>637</v>
      </c>
      <c r="E48" s="16" t="s">
        <v>1512</v>
      </c>
      <c r="F48" s="16" t="s">
        <v>1408</v>
      </c>
      <c r="G48" s="22" t="s">
        <v>41</v>
      </c>
      <c r="H48" s="22" t="s">
        <v>109</v>
      </c>
      <c r="I48" s="23" t="s">
        <v>42</v>
      </c>
      <c r="J48" s="17"/>
      <c r="K48" s="29" t="str">
        <f>"135,0"</f>
        <v>135,0</v>
      </c>
      <c r="L48" s="17" t="str">
        <f>"106,1370"</f>
        <v>106,1370</v>
      </c>
      <c r="M48" s="16" t="s">
        <v>279</v>
      </c>
    </row>
    <row r="49" spans="1:13">
      <c r="A49" s="21" t="s">
        <v>189</v>
      </c>
      <c r="B49" s="20" t="s">
        <v>638</v>
      </c>
      <c r="C49" s="20" t="s">
        <v>1279</v>
      </c>
      <c r="D49" s="20" t="s">
        <v>639</v>
      </c>
      <c r="E49" s="20" t="s">
        <v>1512</v>
      </c>
      <c r="F49" s="20" t="s">
        <v>1408</v>
      </c>
      <c r="G49" s="26" t="s">
        <v>35</v>
      </c>
      <c r="H49" s="27" t="s">
        <v>75</v>
      </c>
      <c r="I49" s="27" t="s">
        <v>75</v>
      </c>
      <c r="J49" s="21"/>
      <c r="K49" s="32" t="str">
        <f>"100,0"</f>
        <v>100,0</v>
      </c>
      <c r="L49" s="21" t="str">
        <f>"77,4700"</f>
        <v>77,4700</v>
      </c>
      <c r="M49" s="20" t="s">
        <v>640</v>
      </c>
    </row>
    <row r="50" spans="1:13">
      <c r="A50" s="21" t="s">
        <v>29</v>
      </c>
      <c r="B50" s="20" t="s">
        <v>641</v>
      </c>
      <c r="C50" s="20" t="s">
        <v>642</v>
      </c>
      <c r="D50" s="20" t="s">
        <v>643</v>
      </c>
      <c r="E50" s="20" t="s">
        <v>1509</v>
      </c>
      <c r="F50" s="20" t="s">
        <v>1403</v>
      </c>
      <c r="G50" s="26" t="s">
        <v>240</v>
      </c>
      <c r="H50" s="27" t="s">
        <v>214</v>
      </c>
      <c r="I50" s="27" t="s">
        <v>214</v>
      </c>
      <c r="J50" s="21"/>
      <c r="K50" s="32" t="str">
        <f>"117,5"</f>
        <v>117,5</v>
      </c>
      <c r="L50" s="21" t="str">
        <f>"92,8367"</f>
        <v>92,8367</v>
      </c>
      <c r="M50" s="20" t="s">
        <v>1384</v>
      </c>
    </row>
    <row r="51" spans="1:13">
      <c r="A51" s="21" t="s">
        <v>189</v>
      </c>
      <c r="B51" s="20" t="s">
        <v>644</v>
      </c>
      <c r="C51" s="20" t="s">
        <v>645</v>
      </c>
      <c r="D51" s="20" t="s">
        <v>646</v>
      </c>
      <c r="E51" s="20" t="s">
        <v>1509</v>
      </c>
      <c r="F51" s="20" t="s">
        <v>1403</v>
      </c>
      <c r="G51" s="26" t="s">
        <v>198</v>
      </c>
      <c r="H51" s="26" t="s">
        <v>37</v>
      </c>
      <c r="I51" s="27" t="s">
        <v>224</v>
      </c>
      <c r="J51" s="21"/>
      <c r="K51" s="32" t="str">
        <f>"110,0"</f>
        <v>110,0</v>
      </c>
      <c r="L51" s="21" t="str">
        <f>"85,0190"</f>
        <v>85,0190</v>
      </c>
      <c r="M51" s="20" t="s">
        <v>458</v>
      </c>
    </row>
    <row r="52" spans="1:13">
      <c r="A52" s="19" t="s">
        <v>190</v>
      </c>
      <c r="B52" s="18" t="s">
        <v>647</v>
      </c>
      <c r="C52" s="18" t="s">
        <v>648</v>
      </c>
      <c r="D52" s="18" t="s">
        <v>292</v>
      </c>
      <c r="E52" s="18" t="s">
        <v>1509</v>
      </c>
      <c r="F52" s="18" t="s">
        <v>1456</v>
      </c>
      <c r="G52" s="24" t="s">
        <v>35</v>
      </c>
      <c r="H52" s="24" t="s">
        <v>75</v>
      </c>
      <c r="I52" s="25" t="s">
        <v>37</v>
      </c>
      <c r="J52" s="19"/>
      <c r="K52" s="30" t="str">
        <f>"107,5"</f>
        <v>107,5</v>
      </c>
      <c r="L52" s="19" t="str">
        <f>"83,3770"</f>
        <v>83,3770</v>
      </c>
      <c r="M52" s="18" t="s">
        <v>1385</v>
      </c>
    </row>
    <row r="53" spans="1:13">
      <c r="B53" s="5" t="s">
        <v>30</v>
      </c>
    </row>
    <row r="54" spans="1:13" ht="16">
      <c r="A54" s="33" t="s">
        <v>67</v>
      </c>
      <c r="B54" s="33"/>
      <c r="C54" s="33"/>
      <c r="D54" s="33"/>
      <c r="E54" s="33"/>
      <c r="F54" s="33"/>
      <c r="G54" s="33"/>
      <c r="H54" s="33"/>
      <c r="I54" s="33"/>
      <c r="J54" s="33"/>
    </row>
    <row r="55" spans="1:13">
      <c r="A55" s="17" t="s">
        <v>29</v>
      </c>
      <c r="B55" s="16" t="s">
        <v>649</v>
      </c>
      <c r="C55" s="16" t="s">
        <v>650</v>
      </c>
      <c r="D55" s="16" t="s">
        <v>651</v>
      </c>
      <c r="E55" s="16" t="s">
        <v>1508</v>
      </c>
      <c r="F55" s="16" t="s">
        <v>1403</v>
      </c>
      <c r="G55" s="22" t="s">
        <v>51</v>
      </c>
      <c r="H55" s="22" t="s">
        <v>220</v>
      </c>
      <c r="I55" s="23" t="s">
        <v>252</v>
      </c>
      <c r="J55" s="17"/>
      <c r="K55" s="29" t="str">
        <f>"87,5"</f>
        <v>87,5</v>
      </c>
      <c r="L55" s="17" t="str">
        <f>"64,3300"</f>
        <v>64,3300</v>
      </c>
      <c r="M55" s="16" t="s">
        <v>315</v>
      </c>
    </row>
    <row r="56" spans="1:13">
      <c r="A56" s="21" t="s">
        <v>29</v>
      </c>
      <c r="B56" s="20" t="s">
        <v>652</v>
      </c>
      <c r="C56" s="20" t="s">
        <v>653</v>
      </c>
      <c r="D56" s="20" t="s">
        <v>654</v>
      </c>
      <c r="E56" s="20" t="s">
        <v>1509</v>
      </c>
      <c r="F56" s="20" t="s">
        <v>1413</v>
      </c>
      <c r="G56" s="26" t="s">
        <v>213</v>
      </c>
      <c r="H56" s="26" t="s">
        <v>230</v>
      </c>
      <c r="I56" s="27" t="s">
        <v>274</v>
      </c>
      <c r="J56" s="21"/>
      <c r="K56" s="32" t="str">
        <f>"122,5"</f>
        <v>122,5</v>
      </c>
      <c r="L56" s="21" t="str">
        <f>"87,6978"</f>
        <v>87,6978</v>
      </c>
      <c r="M56" s="20" t="s">
        <v>324</v>
      </c>
    </row>
    <row r="57" spans="1:13">
      <c r="A57" s="21" t="s">
        <v>189</v>
      </c>
      <c r="B57" s="20" t="s">
        <v>655</v>
      </c>
      <c r="C57" s="20" t="s">
        <v>656</v>
      </c>
      <c r="D57" s="20" t="s">
        <v>657</v>
      </c>
      <c r="E57" s="20" t="s">
        <v>1509</v>
      </c>
      <c r="F57" s="20" t="s">
        <v>1403</v>
      </c>
      <c r="G57" s="26" t="s">
        <v>213</v>
      </c>
      <c r="H57" s="26" t="s">
        <v>58</v>
      </c>
      <c r="I57" s="27" t="s">
        <v>214</v>
      </c>
      <c r="J57" s="21"/>
      <c r="K57" s="32" t="str">
        <f>"120,0"</f>
        <v>120,0</v>
      </c>
      <c r="L57" s="21" t="str">
        <f>"86,4000"</f>
        <v>86,4000</v>
      </c>
      <c r="M57" s="20" t="s">
        <v>658</v>
      </c>
    </row>
    <row r="58" spans="1:13">
      <c r="A58" s="21" t="s">
        <v>190</v>
      </c>
      <c r="B58" s="20" t="s">
        <v>659</v>
      </c>
      <c r="C58" s="20" t="s">
        <v>660</v>
      </c>
      <c r="D58" s="20" t="s">
        <v>661</v>
      </c>
      <c r="E58" s="20" t="s">
        <v>1509</v>
      </c>
      <c r="F58" s="20" t="s">
        <v>1403</v>
      </c>
      <c r="G58" s="26" t="s">
        <v>75</v>
      </c>
      <c r="H58" s="27" t="s">
        <v>240</v>
      </c>
      <c r="I58" s="27" t="s">
        <v>240</v>
      </c>
      <c r="J58" s="21"/>
      <c r="K58" s="32" t="str">
        <f>"107,5"</f>
        <v>107,5</v>
      </c>
      <c r="L58" s="21" t="str">
        <f>"78,7115"</f>
        <v>78,7115</v>
      </c>
      <c r="M58" s="20" t="s">
        <v>365</v>
      </c>
    </row>
    <row r="59" spans="1:13">
      <c r="A59" s="21" t="s">
        <v>29</v>
      </c>
      <c r="B59" s="20" t="s">
        <v>662</v>
      </c>
      <c r="C59" s="20" t="s">
        <v>1280</v>
      </c>
      <c r="D59" s="20" t="s">
        <v>654</v>
      </c>
      <c r="E59" s="20" t="s">
        <v>1511</v>
      </c>
      <c r="F59" s="20" t="s">
        <v>315</v>
      </c>
      <c r="G59" s="26" t="s">
        <v>37</v>
      </c>
      <c r="H59" s="27" t="s">
        <v>230</v>
      </c>
      <c r="I59" s="27" t="s">
        <v>230</v>
      </c>
      <c r="J59" s="21"/>
      <c r="K59" s="32" t="str">
        <f>"110,0"</f>
        <v>110,0</v>
      </c>
      <c r="L59" s="21" t="str">
        <f>"80,9540"</f>
        <v>80,9540</v>
      </c>
      <c r="M59" s="20" t="s">
        <v>315</v>
      </c>
    </row>
    <row r="60" spans="1:13">
      <c r="A60" s="21" t="s">
        <v>29</v>
      </c>
      <c r="B60" s="20" t="s">
        <v>663</v>
      </c>
      <c r="C60" s="20" t="s">
        <v>1281</v>
      </c>
      <c r="D60" s="20" t="s">
        <v>664</v>
      </c>
      <c r="E60" s="20" t="s">
        <v>1510</v>
      </c>
      <c r="F60" s="20" t="s">
        <v>1403</v>
      </c>
      <c r="G60" s="26" t="s">
        <v>42</v>
      </c>
      <c r="H60" s="26" t="s">
        <v>111</v>
      </c>
      <c r="I60" s="27" t="s">
        <v>134</v>
      </c>
      <c r="J60" s="21"/>
      <c r="K60" s="32" t="str">
        <f>"147,5"</f>
        <v>147,5</v>
      </c>
      <c r="L60" s="21" t="str">
        <f>"118,5368"</f>
        <v>118,5368</v>
      </c>
      <c r="M60" s="20" t="s">
        <v>315</v>
      </c>
    </row>
    <row r="61" spans="1:13">
      <c r="A61" s="21" t="s">
        <v>189</v>
      </c>
      <c r="B61" s="20" t="s">
        <v>322</v>
      </c>
      <c r="C61" s="20" t="s">
        <v>1282</v>
      </c>
      <c r="D61" s="20" t="s">
        <v>323</v>
      </c>
      <c r="E61" s="20" t="s">
        <v>1510</v>
      </c>
      <c r="F61" s="20" t="s">
        <v>1413</v>
      </c>
      <c r="G61" s="26" t="s">
        <v>35</v>
      </c>
      <c r="H61" s="26" t="s">
        <v>37</v>
      </c>
      <c r="I61" s="27" t="s">
        <v>224</v>
      </c>
      <c r="J61" s="21"/>
      <c r="K61" s="32" t="str">
        <f>"110,0"</f>
        <v>110,0</v>
      </c>
      <c r="L61" s="21" t="str">
        <f>"87,4528"</f>
        <v>87,4528</v>
      </c>
      <c r="M61" s="20" t="s">
        <v>324</v>
      </c>
    </row>
    <row r="62" spans="1:13">
      <c r="A62" s="19" t="s">
        <v>29</v>
      </c>
      <c r="B62" s="18" t="s">
        <v>665</v>
      </c>
      <c r="C62" s="18" t="s">
        <v>1258</v>
      </c>
      <c r="D62" s="18" t="s">
        <v>321</v>
      </c>
      <c r="E62" s="18" t="s">
        <v>1516</v>
      </c>
      <c r="F62" s="18" t="s">
        <v>1457</v>
      </c>
      <c r="G62" s="25" t="s">
        <v>59</v>
      </c>
      <c r="H62" s="24" t="s">
        <v>59</v>
      </c>
      <c r="I62" s="24" t="s">
        <v>204</v>
      </c>
      <c r="J62" s="19"/>
      <c r="K62" s="30" t="str">
        <f>"90,0"</f>
        <v>90,0</v>
      </c>
      <c r="L62" s="19" t="str">
        <f>"97,7376"</f>
        <v>97,7376</v>
      </c>
      <c r="M62" s="18" t="s">
        <v>315</v>
      </c>
    </row>
    <row r="63" spans="1:13">
      <c r="B63" s="5" t="s">
        <v>30</v>
      </c>
    </row>
    <row r="64" spans="1:13" ht="16">
      <c r="A64" s="33" t="s">
        <v>79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3">
      <c r="A65" s="17" t="s">
        <v>29</v>
      </c>
      <c r="B65" s="16" t="s">
        <v>327</v>
      </c>
      <c r="C65" s="16" t="s">
        <v>328</v>
      </c>
      <c r="D65" s="16" t="s">
        <v>329</v>
      </c>
      <c r="E65" s="16" t="s">
        <v>1508</v>
      </c>
      <c r="F65" s="16" t="s">
        <v>330</v>
      </c>
      <c r="G65" s="22" t="s">
        <v>36</v>
      </c>
      <c r="H65" s="22" t="s">
        <v>75</v>
      </c>
      <c r="I65" s="22" t="s">
        <v>224</v>
      </c>
      <c r="J65" s="17"/>
      <c r="K65" s="29" t="str">
        <f>"112,5"</f>
        <v>112,5</v>
      </c>
      <c r="L65" s="17" t="str">
        <f>"76,6238"</f>
        <v>76,6238</v>
      </c>
      <c r="M65" s="16" t="s">
        <v>1357</v>
      </c>
    </row>
    <row r="66" spans="1:13">
      <c r="A66" s="21" t="s">
        <v>29</v>
      </c>
      <c r="B66" s="20" t="s">
        <v>666</v>
      </c>
      <c r="C66" s="20" t="s">
        <v>1283</v>
      </c>
      <c r="D66" s="20" t="s">
        <v>667</v>
      </c>
      <c r="E66" s="20" t="s">
        <v>1512</v>
      </c>
      <c r="F66" s="20" t="s">
        <v>1458</v>
      </c>
      <c r="G66" s="26" t="s">
        <v>58</v>
      </c>
      <c r="H66" s="26" t="s">
        <v>274</v>
      </c>
      <c r="I66" s="27" t="s">
        <v>109</v>
      </c>
      <c r="J66" s="21"/>
      <c r="K66" s="32" t="str">
        <f>"127,5"</f>
        <v>127,5</v>
      </c>
      <c r="L66" s="21" t="str">
        <f>"87,5288"</f>
        <v>87,5288</v>
      </c>
      <c r="M66" s="20" t="s">
        <v>315</v>
      </c>
    </row>
    <row r="67" spans="1:13">
      <c r="A67" s="21" t="s">
        <v>29</v>
      </c>
      <c r="B67" s="20" t="s">
        <v>668</v>
      </c>
      <c r="C67" s="20" t="s">
        <v>669</v>
      </c>
      <c r="D67" s="20" t="s">
        <v>89</v>
      </c>
      <c r="E67" s="20" t="s">
        <v>1509</v>
      </c>
      <c r="F67" s="20" t="s">
        <v>1459</v>
      </c>
      <c r="G67" s="26" t="s">
        <v>64</v>
      </c>
      <c r="H67" s="26" t="s">
        <v>65</v>
      </c>
      <c r="I67" s="27" t="s">
        <v>163</v>
      </c>
      <c r="J67" s="21"/>
      <c r="K67" s="32" t="str">
        <f>"185,0"</f>
        <v>185,0</v>
      </c>
      <c r="L67" s="21" t="str">
        <f>"124,3015"</f>
        <v>124,3015</v>
      </c>
      <c r="M67" s="20" t="s">
        <v>1386</v>
      </c>
    </row>
    <row r="68" spans="1:13">
      <c r="A68" s="21" t="s">
        <v>189</v>
      </c>
      <c r="B68" s="20" t="s">
        <v>670</v>
      </c>
      <c r="C68" s="20" t="s">
        <v>671</v>
      </c>
      <c r="D68" s="20" t="s">
        <v>82</v>
      </c>
      <c r="E68" s="20" t="s">
        <v>1509</v>
      </c>
      <c r="F68" s="20" t="s">
        <v>1460</v>
      </c>
      <c r="G68" s="26" t="s">
        <v>119</v>
      </c>
      <c r="H68" s="26" t="s">
        <v>341</v>
      </c>
      <c r="I68" s="27" t="s">
        <v>357</v>
      </c>
      <c r="J68" s="21"/>
      <c r="K68" s="32" t="str">
        <f>"162,5"</f>
        <v>162,5</v>
      </c>
      <c r="L68" s="21" t="str">
        <f>"109,1025"</f>
        <v>109,1025</v>
      </c>
      <c r="M68" s="20" t="s">
        <v>315</v>
      </c>
    </row>
    <row r="69" spans="1:13">
      <c r="A69" s="21" t="s">
        <v>190</v>
      </c>
      <c r="B69" s="20" t="s">
        <v>672</v>
      </c>
      <c r="C69" s="20" t="s">
        <v>673</v>
      </c>
      <c r="D69" s="20" t="s">
        <v>344</v>
      </c>
      <c r="E69" s="20" t="s">
        <v>1509</v>
      </c>
      <c r="F69" s="20" t="s">
        <v>1403</v>
      </c>
      <c r="G69" s="26" t="s">
        <v>109</v>
      </c>
      <c r="H69" s="26" t="s">
        <v>118</v>
      </c>
      <c r="I69" s="26" t="s">
        <v>43</v>
      </c>
      <c r="J69" s="21"/>
      <c r="K69" s="32" t="str">
        <f>"150,0"</f>
        <v>150,0</v>
      </c>
      <c r="L69" s="21" t="str">
        <f>"101,6100"</f>
        <v>101,6100</v>
      </c>
      <c r="M69" s="20" t="s">
        <v>365</v>
      </c>
    </row>
    <row r="70" spans="1:13">
      <c r="A70" s="21" t="s">
        <v>437</v>
      </c>
      <c r="B70" s="20" t="s">
        <v>674</v>
      </c>
      <c r="C70" s="20" t="s">
        <v>675</v>
      </c>
      <c r="D70" s="20" t="s">
        <v>676</v>
      </c>
      <c r="E70" s="20" t="s">
        <v>1509</v>
      </c>
      <c r="F70" s="20" t="s">
        <v>1402</v>
      </c>
      <c r="G70" s="26" t="s">
        <v>41</v>
      </c>
      <c r="H70" s="27" t="s">
        <v>109</v>
      </c>
      <c r="I70" s="26" t="s">
        <v>109</v>
      </c>
      <c r="J70" s="21"/>
      <c r="K70" s="32" t="str">
        <f>"135,0"</f>
        <v>135,0</v>
      </c>
      <c r="L70" s="21" t="str">
        <f>"92,0160"</f>
        <v>92,0160</v>
      </c>
      <c r="M70" s="20" t="s">
        <v>623</v>
      </c>
    </row>
    <row r="71" spans="1:13">
      <c r="A71" s="21" t="s">
        <v>438</v>
      </c>
      <c r="B71" s="20" t="s">
        <v>677</v>
      </c>
      <c r="C71" s="20" t="s">
        <v>678</v>
      </c>
      <c r="D71" s="20" t="s">
        <v>679</v>
      </c>
      <c r="E71" s="20" t="s">
        <v>1509</v>
      </c>
      <c r="F71" s="20" t="s">
        <v>1456</v>
      </c>
      <c r="G71" s="26" t="s">
        <v>58</v>
      </c>
      <c r="H71" s="27" t="s">
        <v>214</v>
      </c>
      <c r="I71" s="27" t="s">
        <v>274</v>
      </c>
      <c r="J71" s="21"/>
      <c r="K71" s="32" t="str">
        <f>"120,0"</f>
        <v>120,0</v>
      </c>
      <c r="L71" s="21" t="str">
        <f>"82,4520"</f>
        <v>82,4520</v>
      </c>
      <c r="M71" s="20" t="s">
        <v>279</v>
      </c>
    </row>
    <row r="72" spans="1:13">
      <c r="A72" s="21" t="s">
        <v>769</v>
      </c>
      <c r="B72" s="20" t="s">
        <v>680</v>
      </c>
      <c r="C72" s="20" t="s">
        <v>681</v>
      </c>
      <c r="D72" s="20" t="s">
        <v>340</v>
      </c>
      <c r="E72" s="20" t="s">
        <v>1509</v>
      </c>
      <c r="F72" s="20" t="s">
        <v>1403</v>
      </c>
      <c r="G72" s="26" t="s">
        <v>224</v>
      </c>
      <c r="H72" s="26" t="s">
        <v>240</v>
      </c>
      <c r="I72" s="27" t="s">
        <v>274</v>
      </c>
      <c r="J72" s="21"/>
      <c r="K72" s="32" t="str">
        <f>"117,5"</f>
        <v>117,5</v>
      </c>
      <c r="L72" s="21" t="str">
        <f>"79,1245"</f>
        <v>79,1245</v>
      </c>
      <c r="M72" s="20" t="s">
        <v>225</v>
      </c>
    </row>
    <row r="73" spans="1:13">
      <c r="A73" s="21" t="s">
        <v>191</v>
      </c>
      <c r="B73" s="20" t="s">
        <v>682</v>
      </c>
      <c r="C73" s="20" t="s">
        <v>683</v>
      </c>
      <c r="D73" s="20" t="s">
        <v>684</v>
      </c>
      <c r="E73" s="20" t="s">
        <v>1509</v>
      </c>
      <c r="F73" s="20" t="s">
        <v>1414</v>
      </c>
      <c r="G73" s="27" t="s">
        <v>42</v>
      </c>
      <c r="H73" s="27" t="s">
        <v>42</v>
      </c>
      <c r="I73" s="27" t="s">
        <v>118</v>
      </c>
      <c r="J73" s="21"/>
      <c r="K73" s="32">
        <v>0</v>
      </c>
      <c r="L73" s="21" t="str">
        <f>"0,0000"</f>
        <v>0,0000</v>
      </c>
      <c r="M73" s="20" t="s">
        <v>315</v>
      </c>
    </row>
    <row r="74" spans="1:13">
      <c r="A74" s="21" t="s">
        <v>29</v>
      </c>
      <c r="B74" s="20" t="s">
        <v>685</v>
      </c>
      <c r="C74" s="20" t="s">
        <v>1284</v>
      </c>
      <c r="D74" s="20" t="s">
        <v>686</v>
      </c>
      <c r="E74" s="20" t="s">
        <v>1518</v>
      </c>
      <c r="F74" s="20" t="s">
        <v>1436</v>
      </c>
      <c r="G74" s="26" t="s">
        <v>37</v>
      </c>
      <c r="H74" s="27" t="s">
        <v>240</v>
      </c>
      <c r="I74" s="27" t="s">
        <v>240</v>
      </c>
      <c r="J74" s="21"/>
      <c r="K74" s="32" t="str">
        <f>"110,0"</f>
        <v>110,0</v>
      </c>
      <c r="L74" s="21" t="str">
        <f>"91,9474"</f>
        <v>91,9474</v>
      </c>
      <c r="M74" s="20" t="s">
        <v>687</v>
      </c>
    </row>
    <row r="75" spans="1:13">
      <c r="A75" s="21" t="s">
        <v>29</v>
      </c>
      <c r="B75" s="20" t="s">
        <v>334</v>
      </c>
      <c r="C75" s="20" t="s">
        <v>1246</v>
      </c>
      <c r="D75" s="20" t="s">
        <v>82</v>
      </c>
      <c r="E75" s="20" t="s">
        <v>1513</v>
      </c>
      <c r="F75" s="20" t="s">
        <v>336</v>
      </c>
      <c r="G75" s="26" t="s">
        <v>109</v>
      </c>
      <c r="H75" s="26" t="s">
        <v>110</v>
      </c>
      <c r="I75" s="27" t="s">
        <v>111</v>
      </c>
      <c r="J75" s="21"/>
      <c r="K75" s="32" t="str">
        <f>"142,5"</f>
        <v>142,5</v>
      </c>
      <c r="L75" s="21" t="str">
        <f>"119,5931"</f>
        <v>119,5931</v>
      </c>
      <c r="M75" s="20" t="s">
        <v>315</v>
      </c>
    </row>
    <row r="76" spans="1:13">
      <c r="A76" s="21" t="s">
        <v>29</v>
      </c>
      <c r="B76" s="20" t="s">
        <v>507</v>
      </c>
      <c r="C76" s="20" t="s">
        <v>1285</v>
      </c>
      <c r="D76" s="20" t="s">
        <v>508</v>
      </c>
      <c r="E76" s="20" t="s">
        <v>1517</v>
      </c>
      <c r="F76" s="20" t="s">
        <v>1461</v>
      </c>
      <c r="G76" s="26" t="s">
        <v>58</v>
      </c>
      <c r="H76" s="26" t="s">
        <v>214</v>
      </c>
      <c r="I76" s="27" t="s">
        <v>509</v>
      </c>
      <c r="J76" s="21"/>
      <c r="K76" s="32" t="str">
        <f>"125,0"</f>
        <v>125,0</v>
      </c>
      <c r="L76" s="21" t="str">
        <f>"165,8003"</f>
        <v>165,8003</v>
      </c>
      <c r="M76" s="20" t="s">
        <v>315</v>
      </c>
    </row>
    <row r="77" spans="1:13">
      <c r="A77" s="19" t="s">
        <v>189</v>
      </c>
      <c r="B77" s="18" t="s">
        <v>688</v>
      </c>
      <c r="C77" s="18" t="s">
        <v>1286</v>
      </c>
      <c r="D77" s="18" t="s">
        <v>689</v>
      </c>
      <c r="E77" s="18" t="s">
        <v>1517</v>
      </c>
      <c r="F77" s="18" t="s">
        <v>1462</v>
      </c>
      <c r="G77" s="25" t="s">
        <v>35</v>
      </c>
      <c r="H77" s="24" t="s">
        <v>36</v>
      </c>
      <c r="I77" s="25" t="s">
        <v>75</v>
      </c>
      <c r="J77" s="19"/>
      <c r="K77" s="30" t="str">
        <f>"105,0"</f>
        <v>105,0</v>
      </c>
      <c r="L77" s="19" t="str">
        <f>"137,8845"</f>
        <v>137,8845</v>
      </c>
      <c r="M77" s="18" t="s">
        <v>690</v>
      </c>
    </row>
    <row r="78" spans="1:13">
      <c r="B78" s="5" t="s">
        <v>30</v>
      </c>
    </row>
    <row r="79" spans="1:13" ht="16">
      <c r="A79" s="33" t="s">
        <v>98</v>
      </c>
      <c r="B79" s="33"/>
      <c r="C79" s="33"/>
      <c r="D79" s="33"/>
      <c r="E79" s="33"/>
      <c r="F79" s="33"/>
      <c r="G79" s="33"/>
      <c r="H79" s="33"/>
      <c r="I79" s="33"/>
      <c r="J79" s="33"/>
    </row>
    <row r="80" spans="1:13">
      <c r="A80" s="17" t="s">
        <v>29</v>
      </c>
      <c r="B80" s="16" t="s">
        <v>691</v>
      </c>
      <c r="C80" s="16" t="s">
        <v>692</v>
      </c>
      <c r="D80" s="16" t="s">
        <v>693</v>
      </c>
      <c r="E80" s="16" t="s">
        <v>1509</v>
      </c>
      <c r="F80" s="16" t="s">
        <v>1413</v>
      </c>
      <c r="G80" s="22" t="s">
        <v>64</v>
      </c>
      <c r="H80" s="23" t="s">
        <v>381</v>
      </c>
      <c r="I80" s="23" t="s">
        <v>381</v>
      </c>
      <c r="J80" s="17"/>
      <c r="K80" s="29" t="str">
        <f>"180,0"</f>
        <v>180,0</v>
      </c>
      <c r="L80" s="17" t="str">
        <f>"115,0380"</f>
        <v>115,0380</v>
      </c>
      <c r="M80" s="16" t="s">
        <v>324</v>
      </c>
    </row>
    <row r="81" spans="1:13">
      <c r="A81" s="21" t="s">
        <v>189</v>
      </c>
      <c r="B81" s="20" t="s">
        <v>694</v>
      </c>
      <c r="C81" s="20" t="s">
        <v>695</v>
      </c>
      <c r="D81" s="20" t="s">
        <v>693</v>
      </c>
      <c r="E81" s="20" t="s">
        <v>1509</v>
      </c>
      <c r="F81" s="20" t="s">
        <v>1403</v>
      </c>
      <c r="G81" s="26" t="s">
        <v>43</v>
      </c>
      <c r="H81" s="26" t="s">
        <v>119</v>
      </c>
      <c r="I81" s="27" t="s">
        <v>63</v>
      </c>
      <c r="J81" s="21"/>
      <c r="K81" s="32" t="str">
        <f>"155,0"</f>
        <v>155,0</v>
      </c>
      <c r="L81" s="21" t="str">
        <f>"99,0605"</f>
        <v>99,0605</v>
      </c>
      <c r="M81" s="20" t="s">
        <v>315</v>
      </c>
    </row>
    <row r="82" spans="1:13">
      <c r="A82" s="21" t="s">
        <v>29</v>
      </c>
      <c r="B82" s="20" t="s">
        <v>696</v>
      </c>
      <c r="C82" s="20" t="s">
        <v>1287</v>
      </c>
      <c r="D82" s="20" t="s">
        <v>697</v>
      </c>
      <c r="E82" s="20" t="s">
        <v>1511</v>
      </c>
      <c r="F82" s="20" t="s">
        <v>1463</v>
      </c>
      <c r="G82" s="26" t="s">
        <v>118</v>
      </c>
      <c r="H82" s="27" t="s">
        <v>134</v>
      </c>
      <c r="I82" s="27" t="s">
        <v>134</v>
      </c>
      <c r="J82" s="21"/>
      <c r="K82" s="32" t="str">
        <f>"145,0"</f>
        <v>145,0</v>
      </c>
      <c r="L82" s="21" t="str">
        <f>"96,5163"</f>
        <v>96,5163</v>
      </c>
      <c r="M82" s="20" t="s">
        <v>315</v>
      </c>
    </row>
    <row r="83" spans="1:13">
      <c r="A83" s="21" t="s">
        <v>189</v>
      </c>
      <c r="B83" s="20" t="s">
        <v>698</v>
      </c>
      <c r="C83" s="20" t="s">
        <v>1216</v>
      </c>
      <c r="D83" s="20" t="s">
        <v>512</v>
      </c>
      <c r="E83" s="20" t="s">
        <v>1511</v>
      </c>
      <c r="F83" s="20" t="s">
        <v>1464</v>
      </c>
      <c r="G83" s="26" t="s">
        <v>240</v>
      </c>
      <c r="H83" s="27" t="s">
        <v>214</v>
      </c>
      <c r="I83" s="26" t="s">
        <v>214</v>
      </c>
      <c r="J83" s="21"/>
      <c r="K83" s="32" t="str">
        <f>"125,0"</f>
        <v>125,0</v>
      </c>
      <c r="L83" s="21" t="str">
        <f>"81,7157"</f>
        <v>81,7157</v>
      </c>
      <c r="M83" s="20" t="s">
        <v>699</v>
      </c>
    </row>
    <row r="84" spans="1:13">
      <c r="A84" s="19" t="s">
        <v>29</v>
      </c>
      <c r="B84" s="18" t="s">
        <v>700</v>
      </c>
      <c r="C84" s="18" t="s">
        <v>1288</v>
      </c>
      <c r="D84" s="18" t="s">
        <v>101</v>
      </c>
      <c r="E84" s="18" t="s">
        <v>1510</v>
      </c>
      <c r="F84" s="18" t="s">
        <v>1415</v>
      </c>
      <c r="G84" s="24" t="s">
        <v>118</v>
      </c>
      <c r="H84" s="25" t="s">
        <v>134</v>
      </c>
      <c r="I84" s="25" t="s">
        <v>134</v>
      </c>
      <c r="J84" s="19"/>
      <c r="K84" s="30" t="str">
        <f>"145,0"</f>
        <v>145,0</v>
      </c>
      <c r="L84" s="19" t="str">
        <f>"98,2912"</f>
        <v>98,2912</v>
      </c>
      <c r="M84" s="18" t="s">
        <v>304</v>
      </c>
    </row>
    <row r="85" spans="1:13">
      <c r="B85" s="5" t="s">
        <v>30</v>
      </c>
    </row>
    <row r="86" spans="1:13" ht="16">
      <c r="A86" s="33" t="s">
        <v>122</v>
      </c>
      <c r="B86" s="33"/>
      <c r="C86" s="33"/>
      <c r="D86" s="33"/>
      <c r="E86" s="33"/>
      <c r="F86" s="33"/>
      <c r="G86" s="33"/>
      <c r="H86" s="33"/>
      <c r="I86" s="33"/>
      <c r="J86" s="33"/>
    </row>
    <row r="87" spans="1:13">
      <c r="A87" s="17" t="s">
        <v>29</v>
      </c>
      <c r="B87" s="16" t="s">
        <v>701</v>
      </c>
      <c r="C87" s="16" t="s">
        <v>702</v>
      </c>
      <c r="D87" s="16" t="s">
        <v>703</v>
      </c>
      <c r="E87" s="16" t="s">
        <v>1509</v>
      </c>
      <c r="F87" s="16" t="s">
        <v>1458</v>
      </c>
      <c r="G87" s="22" t="s">
        <v>385</v>
      </c>
      <c r="H87" s="22" t="s">
        <v>66</v>
      </c>
      <c r="I87" s="22" t="s">
        <v>91</v>
      </c>
      <c r="J87" s="17"/>
      <c r="K87" s="29" t="str">
        <f>"205,0"</f>
        <v>205,0</v>
      </c>
      <c r="L87" s="17" t="str">
        <f>"126,9155"</f>
        <v>126,9155</v>
      </c>
      <c r="M87" s="16" t="s">
        <v>704</v>
      </c>
    </row>
    <row r="88" spans="1:13">
      <c r="A88" s="21" t="s">
        <v>189</v>
      </c>
      <c r="B88" s="20" t="s">
        <v>705</v>
      </c>
      <c r="C88" s="20" t="s">
        <v>706</v>
      </c>
      <c r="D88" s="20" t="s">
        <v>707</v>
      </c>
      <c r="E88" s="20" t="s">
        <v>1509</v>
      </c>
      <c r="F88" s="20" t="s">
        <v>1465</v>
      </c>
      <c r="G88" s="26" t="s">
        <v>364</v>
      </c>
      <c r="H88" s="26" t="s">
        <v>73</v>
      </c>
      <c r="I88" s="26" t="s">
        <v>64</v>
      </c>
      <c r="J88" s="21"/>
      <c r="K88" s="32" t="str">
        <f>"180,0"</f>
        <v>180,0</v>
      </c>
      <c r="L88" s="21" t="str">
        <f>"110,2140"</f>
        <v>110,2140</v>
      </c>
      <c r="M88" s="20" t="s">
        <v>1353</v>
      </c>
    </row>
    <row r="89" spans="1:13">
      <c r="A89" s="21" t="s">
        <v>190</v>
      </c>
      <c r="B89" s="20" t="s">
        <v>708</v>
      </c>
      <c r="C89" s="20" t="s">
        <v>709</v>
      </c>
      <c r="D89" s="20" t="s">
        <v>710</v>
      </c>
      <c r="E89" s="20" t="s">
        <v>1509</v>
      </c>
      <c r="F89" s="20" t="s">
        <v>1440</v>
      </c>
      <c r="G89" s="26" t="s">
        <v>118</v>
      </c>
      <c r="H89" s="27" t="s">
        <v>43</v>
      </c>
      <c r="I89" s="27" t="s">
        <v>43</v>
      </c>
      <c r="J89" s="21"/>
      <c r="K89" s="32" t="str">
        <f>"145,0"</f>
        <v>145,0</v>
      </c>
      <c r="L89" s="21" t="str">
        <f>"88,9720"</f>
        <v>88,9720</v>
      </c>
      <c r="M89" s="20" t="s">
        <v>711</v>
      </c>
    </row>
    <row r="90" spans="1:13">
      <c r="A90" s="21" t="s">
        <v>29</v>
      </c>
      <c r="B90" s="20" t="s">
        <v>701</v>
      </c>
      <c r="C90" s="20" t="s">
        <v>1289</v>
      </c>
      <c r="D90" s="20" t="s">
        <v>703</v>
      </c>
      <c r="E90" s="20" t="s">
        <v>1511</v>
      </c>
      <c r="F90" s="20" t="s">
        <v>1458</v>
      </c>
      <c r="G90" s="26" t="s">
        <v>385</v>
      </c>
      <c r="H90" s="26" t="s">
        <v>66</v>
      </c>
      <c r="I90" s="26" t="s">
        <v>91</v>
      </c>
      <c r="J90" s="21"/>
      <c r="K90" s="32" t="str">
        <f>"205,0"</f>
        <v>205,0</v>
      </c>
      <c r="L90" s="21" t="str">
        <f>"126,9155"</f>
        <v>126,9155</v>
      </c>
      <c r="M90" s="20" t="s">
        <v>704</v>
      </c>
    </row>
    <row r="91" spans="1:13">
      <c r="A91" s="21" t="s">
        <v>29</v>
      </c>
      <c r="B91" s="20" t="s">
        <v>705</v>
      </c>
      <c r="C91" s="20" t="s">
        <v>1290</v>
      </c>
      <c r="D91" s="20" t="s">
        <v>707</v>
      </c>
      <c r="E91" s="20" t="s">
        <v>1510</v>
      </c>
      <c r="F91" s="20" t="s">
        <v>1465</v>
      </c>
      <c r="G91" s="26" t="s">
        <v>364</v>
      </c>
      <c r="H91" s="26" t="s">
        <v>73</v>
      </c>
      <c r="I91" s="26" t="s">
        <v>64</v>
      </c>
      <c r="J91" s="21"/>
      <c r="K91" s="32" t="str">
        <f>"180,0"</f>
        <v>180,0</v>
      </c>
      <c r="L91" s="21" t="str">
        <f>"116,8268"</f>
        <v>116,8268</v>
      </c>
      <c r="M91" s="20" t="s">
        <v>1353</v>
      </c>
    </row>
    <row r="92" spans="1:13">
      <c r="A92" s="19" t="s">
        <v>29</v>
      </c>
      <c r="B92" s="18" t="s">
        <v>712</v>
      </c>
      <c r="C92" s="18" t="s">
        <v>1291</v>
      </c>
      <c r="D92" s="18" t="s">
        <v>713</v>
      </c>
      <c r="E92" s="18" t="s">
        <v>1517</v>
      </c>
      <c r="F92" s="18" t="s">
        <v>1403</v>
      </c>
      <c r="G92" s="24" t="s">
        <v>36</v>
      </c>
      <c r="H92" s="24" t="s">
        <v>224</v>
      </c>
      <c r="I92" s="24" t="s">
        <v>240</v>
      </c>
      <c r="J92" s="25" t="s">
        <v>58</v>
      </c>
      <c r="K92" s="30" t="str">
        <f>"117,5"</f>
        <v>117,5</v>
      </c>
      <c r="L92" s="19" t="str">
        <f>"124,9237"</f>
        <v>124,9237</v>
      </c>
      <c r="M92" s="18" t="s">
        <v>365</v>
      </c>
    </row>
    <row r="93" spans="1:13">
      <c r="B93" s="5" t="s">
        <v>30</v>
      </c>
    </row>
    <row r="94" spans="1:13" ht="16">
      <c r="A94" s="33" t="s">
        <v>10</v>
      </c>
      <c r="B94" s="33"/>
      <c r="C94" s="33"/>
      <c r="D94" s="33"/>
      <c r="E94" s="33"/>
      <c r="F94" s="33"/>
      <c r="G94" s="33"/>
      <c r="H94" s="33"/>
      <c r="I94" s="33"/>
      <c r="J94" s="33"/>
    </row>
    <row r="95" spans="1:13">
      <c r="A95" s="17" t="s">
        <v>29</v>
      </c>
      <c r="B95" s="16" t="s">
        <v>714</v>
      </c>
      <c r="C95" s="16" t="s">
        <v>715</v>
      </c>
      <c r="D95" s="16" t="s">
        <v>716</v>
      </c>
      <c r="E95" s="16" t="s">
        <v>1509</v>
      </c>
      <c r="F95" s="16" t="s">
        <v>1415</v>
      </c>
      <c r="G95" s="22" t="s">
        <v>77</v>
      </c>
      <c r="H95" s="22" t="s">
        <v>83</v>
      </c>
      <c r="I95" s="17"/>
      <c r="J95" s="17"/>
      <c r="K95" s="29" t="str">
        <f>"225,0"</f>
        <v>225,0</v>
      </c>
      <c r="L95" s="17" t="str">
        <f>"132,5925"</f>
        <v>132,5925</v>
      </c>
      <c r="M95" s="16" t="s">
        <v>315</v>
      </c>
    </row>
    <row r="96" spans="1:13">
      <c r="A96" s="21" t="s">
        <v>189</v>
      </c>
      <c r="B96" s="20" t="s">
        <v>717</v>
      </c>
      <c r="C96" s="20" t="s">
        <v>718</v>
      </c>
      <c r="D96" s="20" t="s">
        <v>716</v>
      </c>
      <c r="E96" s="20" t="s">
        <v>1509</v>
      </c>
      <c r="F96" s="20" t="s">
        <v>1453</v>
      </c>
      <c r="G96" s="26" t="s">
        <v>66</v>
      </c>
      <c r="H96" s="26" t="s">
        <v>96</v>
      </c>
      <c r="I96" s="26" t="s">
        <v>91</v>
      </c>
      <c r="J96" s="21"/>
      <c r="K96" s="32" t="str">
        <f>"205,0"</f>
        <v>205,0</v>
      </c>
      <c r="L96" s="21" t="str">
        <f>"120,8065"</f>
        <v>120,8065</v>
      </c>
      <c r="M96" s="20" t="s">
        <v>315</v>
      </c>
    </row>
    <row r="97" spans="1:13">
      <c r="A97" s="21" t="s">
        <v>190</v>
      </c>
      <c r="B97" s="20" t="s">
        <v>719</v>
      </c>
      <c r="C97" s="20" t="s">
        <v>720</v>
      </c>
      <c r="D97" s="20" t="s">
        <v>721</v>
      </c>
      <c r="E97" s="20" t="s">
        <v>1509</v>
      </c>
      <c r="F97" s="20" t="s">
        <v>1436</v>
      </c>
      <c r="G97" s="26" t="s">
        <v>72</v>
      </c>
      <c r="H97" s="26" t="s">
        <v>64</v>
      </c>
      <c r="I97" s="27" t="s">
        <v>65</v>
      </c>
      <c r="J97" s="21"/>
      <c r="K97" s="32" t="str">
        <f>"180,0"</f>
        <v>180,0</v>
      </c>
      <c r="L97" s="21" t="str">
        <f>"106,2360"</f>
        <v>106,2360</v>
      </c>
      <c r="M97" s="20" t="s">
        <v>315</v>
      </c>
    </row>
    <row r="98" spans="1:13">
      <c r="A98" s="21" t="s">
        <v>437</v>
      </c>
      <c r="B98" s="20" t="s">
        <v>722</v>
      </c>
      <c r="C98" s="20" t="s">
        <v>723</v>
      </c>
      <c r="D98" s="20" t="s">
        <v>724</v>
      </c>
      <c r="E98" s="20" t="s">
        <v>1509</v>
      </c>
      <c r="F98" s="20" t="s">
        <v>1450</v>
      </c>
      <c r="G98" s="26" t="s">
        <v>357</v>
      </c>
      <c r="H98" s="26" t="s">
        <v>72</v>
      </c>
      <c r="I98" s="26" t="s">
        <v>364</v>
      </c>
      <c r="J98" s="21"/>
      <c r="K98" s="32" t="str">
        <f>"172,5"</f>
        <v>172,5</v>
      </c>
      <c r="L98" s="21" t="str">
        <f>"101,9475"</f>
        <v>101,9475</v>
      </c>
      <c r="M98" s="20" t="s">
        <v>1355</v>
      </c>
    </row>
    <row r="99" spans="1:13">
      <c r="A99" s="21" t="s">
        <v>438</v>
      </c>
      <c r="B99" s="20" t="s">
        <v>725</v>
      </c>
      <c r="C99" s="20" t="s">
        <v>726</v>
      </c>
      <c r="D99" s="20" t="s">
        <v>727</v>
      </c>
      <c r="E99" s="20" t="s">
        <v>1509</v>
      </c>
      <c r="F99" s="20" t="s">
        <v>1463</v>
      </c>
      <c r="G99" s="26" t="s">
        <v>43</v>
      </c>
      <c r="H99" s="26" t="s">
        <v>63</v>
      </c>
      <c r="I99" s="27" t="s">
        <v>357</v>
      </c>
      <c r="J99" s="21"/>
      <c r="K99" s="32" t="str">
        <f>"160,0"</f>
        <v>160,0</v>
      </c>
      <c r="L99" s="21" t="str">
        <f>"95,7440"</f>
        <v>95,7440</v>
      </c>
      <c r="M99" s="20" t="s">
        <v>315</v>
      </c>
    </row>
    <row r="100" spans="1:13">
      <c r="A100" s="21" t="s">
        <v>769</v>
      </c>
      <c r="B100" s="20" t="s">
        <v>728</v>
      </c>
      <c r="C100" s="20" t="s">
        <v>729</v>
      </c>
      <c r="D100" s="20" t="s">
        <v>730</v>
      </c>
      <c r="E100" s="20" t="s">
        <v>1509</v>
      </c>
      <c r="F100" s="20" t="s">
        <v>1403</v>
      </c>
      <c r="G100" s="26" t="s">
        <v>42</v>
      </c>
      <c r="H100" s="26" t="s">
        <v>111</v>
      </c>
      <c r="I100" s="27" t="s">
        <v>43</v>
      </c>
      <c r="J100" s="21"/>
      <c r="K100" s="32" t="str">
        <f>"147,5"</f>
        <v>147,5</v>
      </c>
      <c r="L100" s="21" t="str">
        <f>"89,2375"</f>
        <v>89,2375</v>
      </c>
      <c r="M100" s="20" t="s">
        <v>315</v>
      </c>
    </row>
    <row r="101" spans="1:13">
      <c r="A101" s="21" t="s">
        <v>770</v>
      </c>
      <c r="B101" s="20" t="s">
        <v>731</v>
      </c>
      <c r="C101" s="20" t="s">
        <v>732</v>
      </c>
      <c r="D101" s="20" t="s">
        <v>733</v>
      </c>
      <c r="E101" s="20" t="s">
        <v>1509</v>
      </c>
      <c r="F101" s="20" t="s">
        <v>1402</v>
      </c>
      <c r="G101" s="26" t="s">
        <v>42</v>
      </c>
      <c r="H101" s="26" t="s">
        <v>111</v>
      </c>
      <c r="I101" s="21"/>
      <c r="J101" s="21"/>
      <c r="K101" s="32" t="str">
        <f>"147,5"</f>
        <v>147,5</v>
      </c>
      <c r="L101" s="21" t="str">
        <f>"87,9985"</f>
        <v>87,9985</v>
      </c>
      <c r="M101" s="20" t="s">
        <v>623</v>
      </c>
    </row>
    <row r="102" spans="1:13">
      <c r="A102" s="21" t="s">
        <v>29</v>
      </c>
      <c r="B102" s="20" t="s">
        <v>717</v>
      </c>
      <c r="C102" s="20" t="s">
        <v>1292</v>
      </c>
      <c r="D102" s="20" t="s">
        <v>716</v>
      </c>
      <c r="E102" s="20" t="s">
        <v>1511</v>
      </c>
      <c r="F102" s="20" t="s">
        <v>1453</v>
      </c>
      <c r="G102" s="26" t="s">
        <v>66</v>
      </c>
      <c r="H102" s="26" t="s">
        <v>96</v>
      </c>
      <c r="I102" s="26" t="s">
        <v>91</v>
      </c>
      <c r="J102" s="21"/>
      <c r="K102" s="32" t="str">
        <f>"205,0"</f>
        <v>205,0</v>
      </c>
      <c r="L102" s="21" t="str">
        <f>"124,1891"</f>
        <v>124,1891</v>
      </c>
      <c r="M102" s="20" t="s">
        <v>315</v>
      </c>
    </row>
    <row r="103" spans="1:13">
      <c r="A103" s="21" t="s">
        <v>189</v>
      </c>
      <c r="B103" s="20" t="s">
        <v>405</v>
      </c>
      <c r="C103" s="20" t="s">
        <v>1248</v>
      </c>
      <c r="D103" s="20" t="s">
        <v>12</v>
      </c>
      <c r="E103" s="20" t="s">
        <v>1511</v>
      </c>
      <c r="F103" s="20" t="s">
        <v>1403</v>
      </c>
      <c r="G103" s="27" t="s">
        <v>119</v>
      </c>
      <c r="H103" s="26" t="s">
        <v>119</v>
      </c>
      <c r="I103" s="27" t="s">
        <v>357</v>
      </c>
      <c r="J103" s="21"/>
      <c r="K103" s="32" t="str">
        <f>"155,0"</f>
        <v>155,0</v>
      </c>
      <c r="L103" s="21" t="str">
        <f>"92,9189"</f>
        <v>92,9189</v>
      </c>
      <c r="M103" s="20" t="s">
        <v>315</v>
      </c>
    </row>
    <row r="104" spans="1:13">
      <c r="A104" s="21" t="s">
        <v>29</v>
      </c>
      <c r="B104" s="20" t="s">
        <v>734</v>
      </c>
      <c r="C104" s="20" t="s">
        <v>1293</v>
      </c>
      <c r="D104" s="20" t="s">
        <v>735</v>
      </c>
      <c r="E104" s="20" t="s">
        <v>1510</v>
      </c>
      <c r="F104" s="20" t="s">
        <v>1466</v>
      </c>
      <c r="G104" s="26" t="s">
        <v>134</v>
      </c>
      <c r="H104" s="26" t="s">
        <v>63</v>
      </c>
      <c r="I104" s="27" t="s">
        <v>84</v>
      </c>
      <c r="J104" s="21"/>
      <c r="K104" s="32" t="str">
        <f>"160,0"</f>
        <v>160,0</v>
      </c>
      <c r="L104" s="21" t="str">
        <f>"108,5271"</f>
        <v>108,5271</v>
      </c>
      <c r="M104" s="20" t="s">
        <v>736</v>
      </c>
    </row>
    <row r="105" spans="1:13">
      <c r="A105" s="21" t="s">
        <v>191</v>
      </c>
      <c r="B105" s="20" t="s">
        <v>737</v>
      </c>
      <c r="C105" s="20" t="s">
        <v>1294</v>
      </c>
      <c r="D105" s="20" t="s">
        <v>738</v>
      </c>
      <c r="E105" s="20" t="s">
        <v>1510</v>
      </c>
      <c r="F105" s="20" t="s">
        <v>1403</v>
      </c>
      <c r="G105" s="27" t="s">
        <v>111</v>
      </c>
      <c r="H105" s="27" t="s">
        <v>111</v>
      </c>
      <c r="I105" s="21"/>
      <c r="J105" s="21"/>
      <c r="K105" s="32" t="str">
        <f>"0.00"</f>
        <v>0.00</v>
      </c>
      <c r="L105" s="21" t="str">
        <f>"0,0000"</f>
        <v>0,0000</v>
      </c>
      <c r="M105" s="20" t="s">
        <v>315</v>
      </c>
    </row>
    <row r="106" spans="1:13">
      <c r="A106" s="21" t="s">
        <v>29</v>
      </c>
      <c r="B106" s="20" t="s">
        <v>739</v>
      </c>
      <c r="C106" s="20" t="s">
        <v>1295</v>
      </c>
      <c r="D106" s="20" t="s">
        <v>740</v>
      </c>
      <c r="E106" s="20" t="s">
        <v>1518</v>
      </c>
      <c r="F106" s="20" t="s">
        <v>1403</v>
      </c>
      <c r="G106" s="26" t="s">
        <v>357</v>
      </c>
      <c r="H106" s="26" t="s">
        <v>364</v>
      </c>
      <c r="I106" s="26" t="s">
        <v>73</v>
      </c>
      <c r="J106" s="21"/>
      <c r="K106" s="32" t="str">
        <f>"177,5"</f>
        <v>177,5</v>
      </c>
      <c r="L106" s="21" t="str">
        <f>"124,6036"</f>
        <v>124,6036</v>
      </c>
      <c r="M106" s="20" t="s">
        <v>315</v>
      </c>
    </row>
    <row r="107" spans="1:13">
      <c r="A107" s="21" t="s">
        <v>29</v>
      </c>
      <c r="B107" s="20" t="s">
        <v>741</v>
      </c>
      <c r="C107" s="20" t="s">
        <v>1296</v>
      </c>
      <c r="D107" s="20" t="s">
        <v>742</v>
      </c>
      <c r="E107" s="20" t="s">
        <v>1513</v>
      </c>
      <c r="F107" s="20" t="s">
        <v>1418</v>
      </c>
      <c r="G107" s="26" t="s">
        <v>43</v>
      </c>
      <c r="H107" s="26" t="s">
        <v>119</v>
      </c>
      <c r="I107" s="27" t="s">
        <v>63</v>
      </c>
      <c r="J107" s="21"/>
      <c r="K107" s="32" t="str">
        <f>"155,0"</f>
        <v>155,0</v>
      </c>
      <c r="L107" s="21" t="str">
        <f>"123,2064"</f>
        <v>123,2064</v>
      </c>
      <c r="M107" s="20" t="s">
        <v>315</v>
      </c>
    </row>
    <row r="108" spans="1:13">
      <c r="A108" s="21" t="s">
        <v>29</v>
      </c>
      <c r="B108" s="20" t="s">
        <v>743</v>
      </c>
      <c r="C108" s="20" t="s">
        <v>1297</v>
      </c>
      <c r="D108" s="20" t="s">
        <v>744</v>
      </c>
      <c r="E108" s="20" t="s">
        <v>1516</v>
      </c>
      <c r="F108" s="20" t="s">
        <v>1467</v>
      </c>
      <c r="G108" s="26" t="s">
        <v>41</v>
      </c>
      <c r="H108" s="26" t="s">
        <v>97</v>
      </c>
      <c r="I108" s="26" t="s">
        <v>745</v>
      </c>
      <c r="J108" s="21"/>
      <c r="K108" s="32" t="str">
        <f>"143,0"</f>
        <v>143,0</v>
      </c>
      <c r="L108" s="21" t="str">
        <f>"121,4928"</f>
        <v>121,4928</v>
      </c>
      <c r="M108" s="20" t="s">
        <v>315</v>
      </c>
    </row>
    <row r="109" spans="1:13">
      <c r="A109" s="19" t="s">
        <v>29</v>
      </c>
      <c r="B109" s="18" t="s">
        <v>551</v>
      </c>
      <c r="C109" s="18" t="s">
        <v>1214</v>
      </c>
      <c r="D109" s="18" t="s">
        <v>552</v>
      </c>
      <c r="E109" s="18" t="s">
        <v>1514</v>
      </c>
      <c r="F109" s="18" t="s">
        <v>1461</v>
      </c>
      <c r="G109" s="24" t="s">
        <v>43</v>
      </c>
      <c r="H109" s="25" t="s">
        <v>119</v>
      </c>
      <c r="I109" s="25" t="s">
        <v>119</v>
      </c>
      <c r="J109" s="19"/>
      <c r="K109" s="30" t="str">
        <f>"150,0"</f>
        <v>150,0</v>
      </c>
      <c r="L109" s="19" t="str">
        <f>"141,2866"</f>
        <v>141,2866</v>
      </c>
      <c r="M109" s="18" t="s">
        <v>315</v>
      </c>
    </row>
    <row r="110" spans="1:13">
      <c r="B110" s="5" t="s">
        <v>30</v>
      </c>
    </row>
    <row r="111" spans="1:13" ht="16">
      <c r="A111" s="33" t="s">
        <v>148</v>
      </c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3">
      <c r="A112" s="17" t="s">
        <v>29</v>
      </c>
      <c r="B112" s="16" t="s">
        <v>746</v>
      </c>
      <c r="C112" s="16" t="s">
        <v>747</v>
      </c>
      <c r="D112" s="16" t="s">
        <v>748</v>
      </c>
      <c r="E112" s="16" t="s">
        <v>1509</v>
      </c>
      <c r="F112" s="16" t="s">
        <v>1400</v>
      </c>
      <c r="G112" s="22" t="s">
        <v>78</v>
      </c>
      <c r="H112" s="23" t="s">
        <v>103</v>
      </c>
      <c r="I112" s="23" t="s">
        <v>103</v>
      </c>
      <c r="J112" s="17"/>
      <c r="K112" s="29" t="str">
        <f>"220,0"</f>
        <v>220,0</v>
      </c>
      <c r="L112" s="17" t="str">
        <f>"127,6000"</f>
        <v>127,6000</v>
      </c>
      <c r="M112" s="16" t="s">
        <v>315</v>
      </c>
    </row>
    <row r="113" spans="1:13">
      <c r="A113" s="21" t="s">
        <v>189</v>
      </c>
      <c r="B113" s="20" t="s">
        <v>749</v>
      </c>
      <c r="C113" s="20" t="s">
        <v>750</v>
      </c>
      <c r="D113" s="20" t="s">
        <v>751</v>
      </c>
      <c r="E113" s="20" t="s">
        <v>1509</v>
      </c>
      <c r="F113" s="20" t="s">
        <v>1452</v>
      </c>
      <c r="G113" s="26" t="s">
        <v>64</v>
      </c>
      <c r="H113" s="26" t="s">
        <v>90</v>
      </c>
      <c r="I113" s="27" t="s">
        <v>385</v>
      </c>
      <c r="J113" s="21"/>
      <c r="K113" s="32" t="str">
        <f>"190,0"</f>
        <v>190,0</v>
      </c>
      <c r="L113" s="21" t="str">
        <f>"110,8460"</f>
        <v>110,8460</v>
      </c>
      <c r="M113" s="20" t="s">
        <v>1387</v>
      </c>
    </row>
    <row r="114" spans="1:13">
      <c r="A114" s="21" t="s">
        <v>190</v>
      </c>
      <c r="B114" s="20" t="s">
        <v>752</v>
      </c>
      <c r="C114" s="20" t="s">
        <v>753</v>
      </c>
      <c r="D114" s="20" t="s">
        <v>157</v>
      </c>
      <c r="E114" s="20" t="s">
        <v>1509</v>
      </c>
      <c r="F114" s="20" t="s">
        <v>1403</v>
      </c>
      <c r="G114" s="26" t="s">
        <v>72</v>
      </c>
      <c r="H114" s="26" t="s">
        <v>64</v>
      </c>
      <c r="I114" s="27" t="s">
        <v>65</v>
      </c>
      <c r="J114" s="21"/>
      <c r="K114" s="32" t="str">
        <f>"180,0"</f>
        <v>180,0</v>
      </c>
      <c r="L114" s="21" t="str">
        <f>"103,2300"</f>
        <v>103,2300</v>
      </c>
      <c r="M114" s="20" t="s">
        <v>315</v>
      </c>
    </row>
    <row r="115" spans="1:13">
      <c r="A115" s="21" t="s">
        <v>191</v>
      </c>
      <c r="B115" s="20" t="s">
        <v>754</v>
      </c>
      <c r="C115" s="20" t="s">
        <v>1298</v>
      </c>
      <c r="D115" s="20" t="s">
        <v>755</v>
      </c>
      <c r="E115" s="20" t="s">
        <v>1511</v>
      </c>
      <c r="F115" s="20" t="s">
        <v>1403</v>
      </c>
      <c r="G115" s="27" t="s">
        <v>364</v>
      </c>
      <c r="H115" s="27" t="s">
        <v>85</v>
      </c>
      <c r="I115" s="27" t="s">
        <v>85</v>
      </c>
      <c r="J115" s="21"/>
      <c r="K115" s="32">
        <v>0</v>
      </c>
      <c r="L115" s="21" t="str">
        <f>"0,0000"</f>
        <v>0,0000</v>
      </c>
      <c r="M115" s="20" t="s">
        <v>315</v>
      </c>
    </row>
    <row r="116" spans="1:13">
      <c r="A116" s="19" t="s">
        <v>29</v>
      </c>
      <c r="B116" s="18" t="s">
        <v>756</v>
      </c>
      <c r="C116" s="18" t="s">
        <v>1299</v>
      </c>
      <c r="D116" s="18" t="s">
        <v>757</v>
      </c>
      <c r="E116" s="18" t="s">
        <v>1518</v>
      </c>
      <c r="F116" s="18" t="s">
        <v>758</v>
      </c>
      <c r="G116" s="25" t="s">
        <v>43</v>
      </c>
      <c r="H116" s="25" t="s">
        <v>43</v>
      </c>
      <c r="I116" s="24" t="s">
        <v>43</v>
      </c>
      <c r="J116" s="19"/>
      <c r="K116" s="30" t="str">
        <f>"150,0"</f>
        <v>150,0</v>
      </c>
      <c r="L116" s="19" t="str">
        <f>"101,7556"</f>
        <v>101,7556</v>
      </c>
      <c r="M116" s="18" t="s">
        <v>315</v>
      </c>
    </row>
    <row r="117" spans="1:13">
      <c r="B117" s="5" t="s">
        <v>30</v>
      </c>
    </row>
    <row r="118" spans="1:13" ht="16">
      <c r="A118" s="33" t="s">
        <v>164</v>
      </c>
      <c r="B118" s="33"/>
      <c r="C118" s="33"/>
      <c r="D118" s="33"/>
      <c r="E118" s="33"/>
      <c r="F118" s="33"/>
      <c r="G118" s="33"/>
      <c r="H118" s="33"/>
      <c r="I118" s="33"/>
      <c r="J118" s="33"/>
    </row>
    <row r="119" spans="1:13">
      <c r="A119" s="17" t="s">
        <v>29</v>
      </c>
      <c r="B119" s="16" t="s">
        <v>412</v>
      </c>
      <c r="C119" s="16" t="s">
        <v>413</v>
      </c>
      <c r="D119" s="16" t="s">
        <v>414</v>
      </c>
      <c r="E119" s="16" t="s">
        <v>1509</v>
      </c>
      <c r="F119" s="16" t="s">
        <v>1429</v>
      </c>
      <c r="G119" s="22" t="s">
        <v>63</v>
      </c>
      <c r="H119" s="22" t="s">
        <v>357</v>
      </c>
      <c r="I119" s="23" t="s">
        <v>364</v>
      </c>
      <c r="J119" s="17"/>
      <c r="K119" s="29" t="str">
        <f>"167,5"</f>
        <v>167,5</v>
      </c>
      <c r="L119" s="17" t="str">
        <f>"95,4415"</f>
        <v>95,4415</v>
      </c>
      <c r="M119" s="16" t="s">
        <v>415</v>
      </c>
    </row>
    <row r="120" spans="1:13">
      <c r="A120" s="21" t="s">
        <v>29</v>
      </c>
      <c r="B120" s="20" t="s">
        <v>759</v>
      </c>
      <c r="C120" s="20" t="s">
        <v>1300</v>
      </c>
      <c r="D120" s="20" t="s">
        <v>760</v>
      </c>
      <c r="E120" s="20" t="s">
        <v>1518</v>
      </c>
      <c r="F120" s="20" t="s">
        <v>758</v>
      </c>
      <c r="G120" s="26" t="s">
        <v>43</v>
      </c>
      <c r="H120" s="27" t="s">
        <v>63</v>
      </c>
      <c r="I120" s="27" t="s">
        <v>63</v>
      </c>
      <c r="J120" s="21"/>
      <c r="K120" s="32" t="str">
        <f>"150,0"</f>
        <v>150,0</v>
      </c>
      <c r="L120" s="21" t="str">
        <f>"98,1470"</f>
        <v>98,1470</v>
      </c>
      <c r="M120" s="20" t="s">
        <v>1388</v>
      </c>
    </row>
    <row r="121" spans="1:13">
      <c r="A121" s="19" t="s">
        <v>29</v>
      </c>
      <c r="B121" s="18" t="s">
        <v>761</v>
      </c>
      <c r="C121" s="18" t="s">
        <v>1215</v>
      </c>
      <c r="D121" s="18" t="s">
        <v>762</v>
      </c>
      <c r="E121" s="18" t="s">
        <v>1513</v>
      </c>
      <c r="F121" s="18" t="s">
        <v>1403</v>
      </c>
      <c r="G121" s="24" t="s">
        <v>364</v>
      </c>
      <c r="H121" s="25" t="s">
        <v>73</v>
      </c>
      <c r="I121" s="24" t="s">
        <v>64</v>
      </c>
      <c r="J121" s="19"/>
      <c r="K121" s="30" t="str">
        <f>"180,0"</f>
        <v>180,0</v>
      </c>
      <c r="L121" s="19" t="str">
        <f>"131,5314"</f>
        <v>131,5314</v>
      </c>
      <c r="M121" s="18" t="s">
        <v>315</v>
      </c>
    </row>
    <row r="122" spans="1:13">
      <c r="B122" s="5" t="s">
        <v>30</v>
      </c>
    </row>
    <row r="123" spans="1:13">
      <c r="B123" s="5" t="s">
        <v>30</v>
      </c>
    </row>
    <row r="124" spans="1:13">
      <c r="B124" s="5" t="s">
        <v>30</v>
      </c>
    </row>
    <row r="125" spans="1:13" ht="18">
      <c r="B125" s="9" t="s">
        <v>20</v>
      </c>
      <c r="C125" s="9"/>
      <c r="F125" s="3"/>
    </row>
    <row r="126" spans="1:13" ht="16">
      <c r="B126" s="10" t="s">
        <v>172</v>
      </c>
      <c r="C126" s="10"/>
      <c r="F126" s="3"/>
    </row>
    <row r="127" spans="1:13" ht="14">
      <c r="B127" s="11"/>
      <c r="C127" s="12" t="s">
        <v>175</v>
      </c>
      <c r="F127" s="3"/>
    </row>
    <row r="128" spans="1:13" ht="14">
      <c r="B128" s="13" t="s">
        <v>23</v>
      </c>
      <c r="C128" s="13" t="s">
        <v>24</v>
      </c>
      <c r="D128" s="13" t="s">
        <v>1347</v>
      </c>
      <c r="E128" s="13" t="s">
        <v>575</v>
      </c>
      <c r="F128" s="13" t="s">
        <v>27</v>
      </c>
    </row>
    <row r="129" spans="2:6">
      <c r="B129" s="5" t="s">
        <v>479</v>
      </c>
      <c r="C129" s="5" t="s">
        <v>175</v>
      </c>
      <c r="D129" s="6" t="s">
        <v>421</v>
      </c>
      <c r="E129" s="6" t="s">
        <v>220</v>
      </c>
      <c r="F129" s="6" t="s">
        <v>576</v>
      </c>
    </row>
    <row r="130" spans="2:6">
      <c r="B130" s="5" t="s">
        <v>588</v>
      </c>
      <c r="C130" s="5" t="s">
        <v>175</v>
      </c>
      <c r="D130" s="6" t="s">
        <v>176</v>
      </c>
      <c r="E130" s="6" t="s">
        <v>59</v>
      </c>
      <c r="F130" s="6" t="s">
        <v>763</v>
      </c>
    </row>
    <row r="131" spans="2:6">
      <c r="B131" s="5" t="s">
        <v>199</v>
      </c>
      <c r="C131" s="5" t="s">
        <v>175</v>
      </c>
      <c r="D131" s="6" t="s">
        <v>416</v>
      </c>
      <c r="E131" s="6" t="s">
        <v>39</v>
      </c>
      <c r="F131" s="6" t="s">
        <v>577</v>
      </c>
    </row>
    <row r="133" spans="2:6" ht="16">
      <c r="B133" s="10" t="s">
        <v>21</v>
      </c>
      <c r="C133" s="10"/>
    </row>
    <row r="134" spans="2:6" ht="14">
      <c r="B134" s="11"/>
      <c r="C134" s="12" t="s">
        <v>175</v>
      </c>
    </row>
    <row r="135" spans="2:6" ht="14">
      <c r="B135" s="13" t="s">
        <v>23</v>
      </c>
      <c r="C135" s="13" t="s">
        <v>24</v>
      </c>
      <c r="D135" s="13" t="s">
        <v>1347</v>
      </c>
      <c r="E135" s="13" t="s">
        <v>575</v>
      </c>
      <c r="F135" s="13" t="s">
        <v>27</v>
      </c>
    </row>
    <row r="136" spans="2:6">
      <c r="B136" s="5" t="s">
        <v>714</v>
      </c>
      <c r="C136" s="5" t="s">
        <v>175</v>
      </c>
      <c r="D136" s="6" t="s">
        <v>28</v>
      </c>
      <c r="E136" s="6" t="s">
        <v>83</v>
      </c>
      <c r="F136" s="6" t="s">
        <v>764</v>
      </c>
    </row>
    <row r="137" spans="2:6">
      <c r="B137" s="5" t="s">
        <v>746</v>
      </c>
      <c r="C137" s="5" t="s">
        <v>175</v>
      </c>
      <c r="D137" s="6" t="s">
        <v>178</v>
      </c>
      <c r="E137" s="6" t="s">
        <v>78</v>
      </c>
      <c r="F137" s="6" t="s">
        <v>765</v>
      </c>
    </row>
    <row r="138" spans="2:6">
      <c r="B138" s="5" t="s">
        <v>701</v>
      </c>
      <c r="C138" s="5" t="s">
        <v>175</v>
      </c>
      <c r="D138" s="6" t="s">
        <v>179</v>
      </c>
      <c r="E138" s="6" t="s">
        <v>91</v>
      </c>
      <c r="F138" s="6" t="s">
        <v>766</v>
      </c>
    </row>
    <row r="140" spans="2:6" ht="14">
      <c r="B140" s="11"/>
      <c r="C140" s="12" t="s">
        <v>22</v>
      </c>
    </row>
    <row r="141" spans="2:6" ht="14">
      <c r="B141" s="13" t="s">
        <v>23</v>
      </c>
      <c r="C141" s="13" t="s">
        <v>24</v>
      </c>
      <c r="D141" s="13" t="s">
        <v>1347</v>
      </c>
      <c r="E141" s="13" t="s">
        <v>575</v>
      </c>
      <c r="F141" s="13" t="s">
        <v>27</v>
      </c>
    </row>
    <row r="142" spans="2:6">
      <c r="B142" s="5" t="s">
        <v>507</v>
      </c>
      <c r="C142" s="5" t="s">
        <v>1301</v>
      </c>
      <c r="D142" s="6" t="s">
        <v>182</v>
      </c>
      <c r="E142" s="6" t="s">
        <v>214</v>
      </c>
      <c r="F142" s="6" t="s">
        <v>582</v>
      </c>
    </row>
    <row r="143" spans="2:6">
      <c r="B143" s="5" t="s">
        <v>551</v>
      </c>
      <c r="C143" s="5" t="s">
        <v>1212</v>
      </c>
      <c r="D143" s="6" t="s">
        <v>28</v>
      </c>
      <c r="E143" s="6" t="s">
        <v>43</v>
      </c>
      <c r="F143" s="6" t="s">
        <v>767</v>
      </c>
    </row>
    <row r="144" spans="2:6">
      <c r="B144" s="5" t="s">
        <v>688</v>
      </c>
      <c r="C144" s="5" t="s">
        <v>1301</v>
      </c>
      <c r="D144" s="6" t="s">
        <v>182</v>
      </c>
      <c r="E144" s="6" t="s">
        <v>36</v>
      </c>
      <c r="F144" s="6" t="s">
        <v>768</v>
      </c>
    </row>
    <row r="145" spans="2:2">
      <c r="B145" s="5" t="s">
        <v>30</v>
      </c>
    </row>
  </sheetData>
  <mergeCells count="28">
    <mergeCell ref="A1:M2"/>
    <mergeCell ref="A3:A4"/>
    <mergeCell ref="C3:C4"/>
    <mergeCell ref="D3:D4"/>
    <mergeCell ref="E3:E4"/>
    <mergeCell ref="F3:F4"/>
    <mergeCell ref="G3:J3"/>
    <mergeCell ref="A36:J36"/>
    <mergeCell ref="K3:K4"/>
    <mergeCell ref="L3:L4"/>
    <mergeCell ref="M3:M4"/>
    <mergeCell ref="A5:J5"/>
    <mergeCell ref="A86:J86"/>
    <mergeCell ref="A94:J94"/>
    <mergeCell ref="A111:J111"/>
    <mergeCell ref="A118:J118"/>
    <mergeCell ref="B3:B4"/>
    <mergeCell ref="A39:J39"/>
    <mergeCell ref="A42:J42"/>
    <mergeCell ref="A47:J47"/>
    <mergeCell ref="A54:J54"/>
    <mergeCell ref="A64:J64"/>
    <mergeCell ref="A79:J79"/>
    <mergeCell ref="A8:J8"/>
    <mergeCell ref="A13:J13"/>
    <mergeCell ref="A16:J16"/>
    <mergeCell ref="A22:J22"/>
    <mergeCell ref="A31:J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M86"/>
  <sheetViews>
    <sheetView topLeftCell="A41" workbookViewId="0">
      <selection activeCell="E70" sqref="E70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4" t="s">
        <v>1371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192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199</v>
      </c>
      <c r="C6" s="7" t="s">
        <v>200</v>
      </c>
      <c r="D6" s="7" t="s">
        <v>201</v>
      </c>
      <c r="E6" s="7" t="s">
        <v>1509</v>
      </c>
      <c r="F6" s="7" t="s">
        <v>202</v>
      </c>
      <c r="G6" s="15" t="s">
        <v>203</v>
      </c>
      <c r="H6" s="14" t="s">
        <v>203</v>
      </c>
      <c r="I6" s="14" t="s">
        <v>39</v>
      </c>
      <c r="J6" s="8"/>
      <c r="K6" s="8" t="str">
        <f>"65,0"</f>
        <v>65,0</v>
      </c>
      <c r="L6" s="8" t="str">
        <f>"95,5630"</f>
        <v>95,5630</v>
      </c>
      <c r="M6" s="7" t="s">
        <v>315</v>
      </c>
    </row>
    <row r="7" spans="1:13">
      <c r="B7" s="5" t="s">
        <v>30</v>
      </c>
    </row>
    <row r="8" spans="1:13" ht="16">
      <c r="A8" s="33" t="s">
        <v>206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29</v>
      </c>
      <c r="B9" s="7" t="s">
        <v>479</v>
      </c>
      <c r="C9" s="7" t="s">
        <v>480</v>
      </c>
      <c r="D9" s="7" t="s">
        <v>222</v>
      </c>
      <c r="E9" s="7" t="s">
        <v>1509</v>
      </c>
      <c r="F9" s="7" t="s">
        <v>1434</v>
      </c>
      <c r="G9" s="14" t="s">
        <v>52</v>
      </c>
      <c r="H9" s="14" t="s">
        <v>220</v>
      </c>
      <c r="I9" s="15" t="s">
        <v>204</v>
      </c>
      <c r="J9" s="8"/>
      <c r="K9" s="8" t="str">
        <f>"87,5"</f>
        <v>87,5</v>
      </c>
      <c r="L9" s="8" t="str">
        <f>"116,0688"</f>
        <v>116,0688</v>
      </c>
      <c r="M9" s="7" t="s">
        <v>481</v>
      </c>
    </row>
    <row r="10" spans="1:13">
      <c r="B10" s="5" t="s">
        <v>30</v>
      </c>
    </row>
    <row r="11" spans="1:13" ht="16">
      <c r="A11" s="33" t="s">
        <v>226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29</v>
      </c>
      <c r="B12" s="7" t="s">
        <v>482</v>
      </c>
      <c r="C12" s="7" t="s">
        <v>483</v>
      </c>
      <c r="D12" s="7" t="s">
        <v>484</v>
      </c>
      <c r="E12" s="7" t="s">
        <v>1509</v>
      </c>
      <c r="F12" s="7" t="s">
        <v>1432</v>
      </c>
      <c r="G12" s="14" t="s">
        <v>39</v>
      </c>
      <c r="H12" s="14" t="s">
        <v>40</v>
      </c>
      <c r="I12" s="15" t="s">
        <v>171</v>
      </c>
      <c r="J12" s="8"/>
      <c r="K12" s="8" t="str">
        <f>"67,5"</f>
        <v>67,5</v>
      </c>
      <c r="L12" s="8" t="str">
        <f>"85,4145"</f>
        <v>85,4145</v>
      </c>
      <c r="M12" s="7" t="s">
        <v>315</v>
      </c>
    </row>
    <row r="13" spans="1:13">
      <c r="B13" s="5" t="s">
        <v>30</v>
      </c>
    </row>
    <row r="14" spans="1:13" ht="16">
      <c r="A14" s="33" t="s">
        <v>45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29</v>
      </c>
      <c r="B15" s="7" t="s">
        <v>486</v>
      </c>
      <c r="C15" s="7" t="s">
        <v>487</v>
      </c>
      <c r="D15" s="7" t="s">
        <v>488</v>
      </c>
      <c r="E15" s="7" t="s">
        <v>1509</v>
      </c>
      <c r="F15" s="7" t="s">
        <v>1468</v>
      </c>
      <c r="G15" s="14" t="s">
        <v>59</v>
      </c>
      <c r="H15" s="15" t="s">
        <v>204</v>
      </c>
      <c r="I15" s="15" t="s">
        <v>204</v>
      </c>
      <c r="J15" s="8"/>
      <c r="K15" s="8" t="str">
        <f>"85,0"</f>
        <v>85,0</v>
      </c>
      <c r="L15" s="8" t="str">
        <f>"96,0075"</f>
        <v>96,0075</v>
      </c>
      <c r="M15" s="7" t="s">
        <v>489</v>
      </c>
    </row>
    <row r="16" spans="1:13">
      <c r="B16" s="5" t="s">
        <v>30</v>
      </c>
    </row>
    <row r="17" spans="1:13" ht="16">
      <c r="A17" s="33" t="s">
        <v>67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3">
      <c r="A18" s="8" t="s">
        <v>29</v>
      </c>
      <c r="B18" s="7" t="s">
        <v>490</v>
      </c>
      <c r="C18" s="7" t="s">
        <v>1302</v>
      </c>
      <c r="D18" s="7" t="s">
        <v>314</v>
      </c>
      <c r="E18" s="7" t="s">
        <v>1512</v>
      </c>
      <c r="F18" s="7" t="s">
        <v>1469</v>
      </c>
      <c r="G18" s="14" t="s">
        <v>491</v>
      </c>
      <c r="H18" s="15" t="s">
        <v>35</v>
      </c>
      <c r="I18" s="15" t="s">
        <v>35</v>
      </c>
      <c r="J18" s="8"/>
      <c r="K18" s="8" t="str">
        <f>"93,0"</f>
        <v>93,0</v>
      </c>
      <c r="L18" s="8" t="str">
        <f>"88,9359"</f>
        <v>88,9359</v>
      </c>
      <c r="M18" s="7" t="s">
        <v>492</v>
      </c>
    </row>
    <row r="19" spans="1:13">
      <c r="B19" s="5" t="s">
        <v>30</v>
      </c>
    </row>
    <row r="20" spans="1:13" ht="16">
      <c r="A20" s="33" t="s">
        <v>275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3">
      <c r="A21" s="8" t="s">
        <v>29</v>
      </c>
      <c r="B21" s="7" t="s">
        <v>493</v>
      </c>
      <c r="C21" s="7" t="s">
        <v>494</v>
      </c>
      <c r="D21" s="7" t="s">
        <v>495</v>
      </c>
      <c r="E21" s="7" t="s">
        <v>1509</v>
      </c>
      <c r="F21" s="7" t="s">
        <v>1404</v>
      </c>
      <c r="G21" s="14" t="s">
        <v>52</v>
      </c>
      <c r="H21" s="14" t="s">
        <v>220</v>
      </c>
      <c r="I21" s="15" t="s">
        <v>204</v>
      </c>
      <c r="J21" s="8"/>
      <c r="K21" s="8" t="str">
        <f>"87,5"</f>
        <v>87,5</v>
      </c>
      <c r="L21" s="8" t="str">
        <f>"69,5800"</f>
        <v>69,5800</v>
      </c>
      <c r="M21" s="7" t="s">
        <v>496</v>
      </c>
    </row>
    <row r="22" spans="1:13">
      <c r="B22" s="5" t="s">
        <v>30</v>
      </c>
    </row>
    <row r="23" spans="1:13" ht="16">
      <c r="A23" s="33" t="s">
        <v>79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3">
      <c r="A24" s="17" t="s">
        <v>29</v>
      </c>
      <c r="B24" s="16" t="s">
        <v>497</v>
      </c>
      <c r="C24" s="16" t="s">
        <v>498</v>
      </c>
      <c r="D24" s="16" t="s">
        <v>499</v>
      </c>
      <c r="E24" s="16" t="s">
        <v>1509</v>
      </c>
      <c r="F24" s="16" t="s">
        <v>1470</v>
      </c>
      <c r="G24" s="22" t="s">
        <v>64</v>
      </c>
      <c r="H24" s="22" t="s">
        <v>381</v>
      </c>
      <c r="I24" s="23" t="s">
        <v>163</v>
      </c>
      <c r="J24" s="17"/>
      <c r="K24" s="17" t="str">
        <f>"187,5"</f>
        <v>187,5</v>
      </c>
      <c r="L24" s="17" t="str">
        <f>"129,7875"</f>
        <v>129,7875</v>
      </c>
      <c r="M24" s="16" t="s">
        <v>315</v>
      </c>
    </row>
    <row r="25" spans="1:13">
      <c r="A25" s="21" t="s">
        <v>189</v>
      </c>
      <c r="B25" s="20" t="s">
        <v>497</v>
      </c>
      <c r="C25" s="20" t="s">
        <v>498</v>
      </c>
      <c r="D25" s="20" t="s">
        <v>499</v>
      </c>
      <c r="E25" s="20" t="s">
        <v>1509</v>
      </c>
      <c r="F25" s="20" t="s">
        <v>1470</v>
      </c>
      <c r="G25" s="26" t="s">
        <v>64</v>
      </c>
      <c r="H25" s="26" t="s">
        <v>381</v>
      </c>
      <c r="I25" s="27" t="s">
        <v>163</v>
      </c>
      <c r="J25" s="21"/>
      <c r="K25" s="21" t="str">
        <f>"187,5"</f>
        <v>187,5</v>
      </c>
      <c r="L25" s="21" t="str">
        <f>"129,7875"</f>
        <v>129,7875</v>
      </c>
      <c r="M25" s="20" t="s">
        <v>315</v>
      </c>
    </row>
    <row r="26" spans="1:13">
      <c r="A26" s="21" t="s">
        <v>190</v>
      </c>
      <c r="B26" s="20" t="s">
        <v>500</v>
      </c>
      <c r="C26" s="20" t="s">
        <v>501</v>
      </c>
      <c r="D26" s="20" t="s">
        <v>502</v>
      </c>
      <c r="E26" s="20" t="s">
        <v>1509</v>
      </c>
      <c r="F26" s="20" t="s">
        <v>1466</v>
      </c>
      <c r="G26" s="26" t="s">
        <v>85</v>
      </c>
      <c r="H26" s="27" t="s">
        <v>74</v>
      </c>
      <c r="I26" s="27" t="s">
        <v>74</v>
      </c>
      <c r="J26" s="21"/>
      <c r="K26" s="21" t="str">
        <f>"175,0"</f>
        <v>175,0</v>
      </c>
      <c r="L26" s="21" t="str">
        <f>"118,8250"</f>
        <v>118,8250</v>
      </c>
      <c r="M26" s="20" t="s">
        <v>315</v>
      </c>
    </row>
    <row r="27" spans="1:13">
      <c r="A27" s="21" t="s">
        <v>437</v>
      </c>
      <c r="B27" s="20" t="s">
        <v>80</v>
      </c>
      <c r="C27" s="20" t="s">
        <v>81</v>
      </c>
      <c r="D27" s="20" t="s">
        <v>82</v>
      </c>
      <c r="E27" s="20" t="s">
        <v>1509</v>
      </c>
      <c r="F27" s="20" t="s">
        <v>1428</v>
      </c>
      <c r="G27" s="26" t="s">
        <v>84</v>
      </c>
      <c r="H27" s="26" t="s">
        <v>72</v>
      </c>
      <c r="I27" s="27" t="s">
        <v>85</v>
      </c>
      <c r="J27" s="21"/>
      <c r="K27" s="21" t="str">
        <f>"170,0"</f>
        <v>170,0</v>
      </c>
      <c r="L27" s="21" t="str">
        <f>"114,1380"</f>
        <v>114,1380</v>
      </c>
      <c r="M27" s="20" t="s">
        <v>315</v>
      </c>
    </row>
    <row r="28" spans="1:13">
      <c r="A28" s="21" t="s">
        <v>191</v>
      </c>
      <c r="B28" s="20" t="s">
        <v>503</v>
      </c>
      <c r="C28" s="20" t="s">
        <v>504</v>
      </c>
      <c r="D28" s="20" t="s">
        <v>505</v>
      </c>
      <c r="E28" s="20" t="s">
        <v>1509</v>
      </c>
      <c r="F28" s="20" t="s">
        <v>1428</v>
      </c>
      <c r="G28" s="27" t="s">
        <v>119</v>
      </c>
      <c r="H28" s="27" t="s">
        <v>119</v>
      </c>
      <c r="I28" s="27" t="s">
        <v>119</v>
      </c>
      <c r="J28" s="21"/>
      <c r="K28" s="21" t="str">
        <f>"0.00"</f>
        <v>0.00</v>
      </c>
      <c r="L28" s="21" t="str">
        <f>"0,0000"</f>
        <v>0,0000</v>
      </c>
      <c r="M28" s="20" t="s">
        <v>506</v>
      </c>
    </row>
    <row r="29" spans="1:13">
      <c r="A29" s="21" t="s">
        <v>191</v>
      </c>
      <c r="B29" s="20" t="s">
        <v>503</v>
      </c>
      <c r="C29" s="20" t="s">
        <v>1303</v>
      </c>
      <c r="D29" s="20" t="s">
        <v>505</v>
      </c>
      <c r="E29" s="20" t="s">
        <v>1511</v>
      </c>
      <c r="F29" s="20" t="s">
        <v>1428</v>
      </c>
      <c r="G29" s="27" t="s">
        <v>119</v>
      </c>
      <c r="H29" s="27" t="s">
        <v>119</v>
      </c>
      <c r="I29" s="27" t="s">
        <v>119</v>
      </c>
      <c r="J29" s="21"/>
      <c r="K29" s="21" t="str">
        <f>"0.00"</f>
        <v>0.00</v>
      </c>
      <c r="L29" s="21" t="str">
        <f>"0,0000"</f>
        <v>0,0000</v>
      </c>
      <c r="M29" s="20" t="s">
        <v>506</v>
      </c>
    </row>
    <row r="30" spans="1:13">
      <c r="A30" s="19" t="s">
        <v>29</v>
      </c>
      <c r="B30" s="18" t="s">
        <v>507</v>
      </c>
      <c r="C30" s="18" t="s">
        <v>1285</v>
      </c>
      <c r="D30" s="18" t="s">
        <v>508</v>
      </c>
      <c r="E30" s="18" t="s">
        <v>1515</v>
      </c>
      <c r="F30" s="18" t="s">
        <v>1461</v>
      </c>
      <c r="G30" s="24" t="s">
        <v>58</v>
      </c>
      <c r="H30" s="24" t="s">
        <v>214</v>
      </c>
      <c r="I30" s="25" t="s">
        <v>509</v>
      </c>
      <c r="J30" s="19"/>
      <c r="K30" s="19" t="str">
        <f>"125,0"</f>
        <v>125,0</v>
      </c>
      <c r="L30" s="19" t="str">
        <f>"165,8003"</f>
        <v>165,8003</v>
      </c>
      <c r="M30" s="18" t="s">
        <v>315</v>
      </c>
    </row>
    <row r="31" spans="1:13">
      <c r="B31" s="5" t="s">
        <v>30</v>
      </c>
    </row>
    <row r="32" spans="1:13" ht="16">
      <c r="A32" s="33" t="s">
        <v>98</v>
      </c>
      <c r="B32" s="33"/>
      <c r="C32" s="33"/>
      <c r="D32" s="33"/>
      <c r="E32" s="33"/>
      <c r="F32" s="33"/>
      <c r="G32" s="33"/>
      <c r="H32" s="33"/>
      <c r="I32" s="33"/>
      <c r="J32" s="33"/>
    </row>
    <row r="33" spans="1:13">
      <c r="A33" s="17" t="s">
        <v>29</v>
      </c>
      <c r="B33" s="16" t="s">
        <v>510</v>
      </c>
      <c r="C33" s="16" t="s">
        <v>511</v>
      </c>
      <c r="D33" s="16" t="s">
        <v>512</v>
      </c>
      <c r="E33" s="16" t="s">
        <v>1509</v>
      </c>
      <c r="F33" s="16" t="s">
        <v>1410</v>
      </c>
      <c r="G33" s="22" t="s">
        <v>85</v>
      </c>
      <c r="H33" s="22" t="s">
        <v>64</v>
      </c>
      <c r="I33" s="22" t="s">
        <v>381</v>
      </c>
      <c r="J33" s="17"/>
      <c r="K33" s="17" t="str">
        <f>"187,5"</f>
        <v>187,5</v>
      </c>
      <c r="L33" s="17" t="str">
        <f>"120,8812"</f>
        <v>120,8812</v>
      </c>
      <c r="M33" s="16" t="s">
        <v>315</v>
      </c>
    </row>
    <row r="34" spans="1:13">
      <c r="A34" s="21" t="s">
        <v>189</v>
      </c>
      <c r="B34" s="20" t="s">
        <v>513</v>
      </c>
      <c r="C34" s="20" t="s">
        <v>514</v>
      </c>
      <c r="D34" s="20" t="s">
        <v>117</v>
      </c>
      <c r="E34" s="20" t="s">
        <v>1509</v>
      </c>
      <c r="F34" s="20" t="s">
        <v>1420</v>
      </c>
      <c r="G34" s="26" t="s">
        <v>72</v>
      </c>
      <c r="H34" s="26" t="s">
        <v>64</v>
      </c>
      <c r="I34" s="27" t="s">
        <v>381</v>
      </c>
      <c r="J34" s="21"/>
      <c r="K34" s="21" t="str">
        <f>"180,0"</f>
        <v>180,0</v>
      </c>
      <c r="L34" s="21" t="str">
        <f>"115,1640"</f>
        <v>115,1640</v>
      </c>
      <c r="M34" s="20" t="s">
        <v>515</v>
      </c>
    </row>
    <row r="35" spans="1:13">
      <c r="A35" s="19" t="s">
        <v>29</v>
      </c>
      <c r="B35" s="18" t="s">
        <v>516</v>
      </c>
      <c r="C35" s="18" t="s">
        <v>1272</v>
      </c>
      <c r="D35" s="18" t="s">
        <v>360</v>
      </c>
      <c r="E35" s="18" t="s">
        <v>1516</v>
      </c>
      <c r="F35" s="18" t="s">
        <v>517</v>
      </c>
      <c r="G35" s="24" t="s">
        <v>214</v>
      </c>
      <c r="H35" s="24" t="s">
        <v>41</v>
      </c>
      <c r="I35" s="24" t="s">
        <v>109</v>
      </c>
      <c r="J35" s="19"/>
      <c r="K35" s="19" t="str">
        <f>"135,0"</f>
        <v>135,0</v>
      </c>
      <c r="L35" s="19" t="str">
        <f>"123,0993"</f>
        <v>123,0993</v>
      </c>
      <c r="M35" s="18" t="s">
        <v>315</v>
      </c>
    </row>
    <row r="36" spans="1:13">
      <c r="B36" s="5" t="s">
        <v>30</v>
      </c>
    </row>
    <row r="37" spans="1:13" ht="16">
      <c r="A37" s="33" t="s">
        <v>122</v>
      </c>
      <c r="B37" s="33"/>
      <c r="C37" s="33"/>
      <c r="D37" s="33"/>
      <c r="E37" s="33"/>
      <c r="F37" s="33"/>
      <c r="G37" s="33"/>
      <c r="H37" s="33"/>
      <c r="I37" s="33"/>
      <c r="J37" s="33"/>
    </row>
    <row r="38" spans="1:13">
      <c r="A38" s="17" t="s">
        <v>29</v>
      </c>
      <c r="B38" s="16" t="s">
        <v>518</v>
      </c>
      <c r="C38" s="16" t="s">
        <v>519</v>
      </c>
      <c r="D38" s="16" t="s">
        <v>520</v>
      </c>
      <c r="E38" s="16" t="s">
        <v>1509</v>
      </c>
      <c r="F38" s="16" t="s">
        <v>1414</v>
      </c>
      <c r="G38" s="22" t="s">
        <v>64</v>
      </c>
      <c r="H38" s="23" t="s">
        <v>65</v>
      </c>
      <c r="I38" s="23" t="s">
        <v>65</v>
      </c>
      <c r="J38" s="17"/>
      <c r="K38" s="17" t="str">
        <f>"180,0"</f>
        <v>180,0</v>
      </c>
      <c r="L38" s="17" t="str">
        <f>"110,5920"</f>
        <v>110,5920</v>
      </c>
      <c r="M38" s="16" t="s">
        <v>521</v>
      </c>
    </row>
    <row r="39" spans="1:13">
      <c r="A39" s="21" t="s">
        <v>189</v>
      </c>
      <c r="B39" s="20" t="s">
        <v>522</v>
      </c>
      <c r="C39" s="20" t="s">
        <v>523</v>
      </c>
      <c r="D39" s="20" t="s">
        <v>524</v>
      </c>
      <c r="E39" s="20" t="s">
        <v>1509</v>
      </c>
      <c r="F39" s="20" t="s">
        <v>1408</v>
      </c>
      <c r="G39" s="26" t="s">
        <v>84</v>
      </c>
      <c r="H39" s="26" t="s">
        <v>72</v>
      </c>
      <c r="I39" s="27" t="s">
        <v>85</v>
      </c>
      <c r="J39" s="21"/>
      <c r="K39" s="21" t="str">
        <f>"170,0"</f>
        <v>170,0</v>
      </c>
      <c r="L39" s="21" t="str">
        <f>"104,9240"</f>
        <v>104,9240</v>
      </c>
      <c r="M39" s="20" t="s">
        <v>315</v>
      </c>
    </row>
    <row r="40" spans="1:13">
      <c r="A40" s="21" t="s">
        <v>190</v>
      </c>
      <c r="B40" s="20" t="s">
        <v>525</v>
      </c>
      <c r="C40" s="20" t="s">
        <v>526</v>
      </c>
      <c r="D40" s="20" t="s">
        <v>130</v>
      </c>
      <c r="E40" s="20" t="s">
        <v>1509</v>
      </c>
      <c r="F40" s="20" t="s">
        <v>1428</v>
      </c>
      <c r="G40" s="26" t="s">
        <v>119</v>
      </c>
      <c r="H40" s="26" t="s">
        <v>63</v>
      </c>
      <c r="I40" s="27" t="s">
        <v>84</v>
      </c>
      <c r="J40" s="21"/>
      <c r="K40" s="21" t="str">
        <f>"160,0"</f>
        <v>160,0</v>
      </c>
      <c r="L40" s="21" t="str">
        <f>"98,7840"</f>
        <v>98,7840</v>
      </c>
      <c r="M40" s="20" t="s">
        <v>315</v>
      </c>
    </row>
    <row r="41" spans="1:13">
      <c r="A41" s="21" t="s">
        <v>437</v>
      </c>
      <c r="B41" s="20" t="s">
        <v>527</v>
      </c>
      <c r="C41" s="20" t="s">
        <v>528</v>
      </c>
      <c r="D41" s="20" t="s">
        <v>529</v>
      </c>
      <c r="E41" s="20" t="s">
        <v>1509</v>
      </c>
      <c r="F41" s="20" t="s">
        <v>1414</v>
      </c>
      <c r="G41" s="26" t="s">
        <v>43</v>
      </c>
      <c r="H41" s="27" t="s">
        <v>119</v>
      </c>
      <c r="I41" s="27" t="s">
        <v>119</v>
      </c>
      <c r="J41" s="21"/>
      <c r="K41" s="21" t="str">
        <f>"150,0"</f>
        <v>150,0</v>
      </c>
      <c r="L41" s="21" t="str">
        <f>"95,6550"</f>
        <v>95,6550</v>
      </c>
      <c r="M41" s="20" t="s">
        <v>300</v>
      </c>
    </row>
    <row r="42" spans="1:13">
      <c r="A42" s="21" t="s">
        <v>191</v>
      </c>
      <c r="B42" s="20" t="s">
        <v>530</v>
      </c>
      <c r="C42" s="20" t="s">
        <v>531</v>
      </c>
      <c r="D42" s="20" t="s">
        <v>532</v>
      </c>
      <c r="E42" s="20" t="s">
        <v>1509</v>
      </c>
      <c r="F42" s="20" t="s">
        <v>1471</v>
      </c>
      <c r="G42" s="27" t="s">
        <v>364</v>
      </c>
      <c r="H42" s="27" t="s">
        <v>364</v>
      </c>
      <c r="I42" s="27" t="s">
        <v>364</v>
      </c>
      <c r="J42" s="21"/>
      <c r="K42" s="21" t="str">
        <f>"0.00"</f>
        <v>0.00</v>
      </c>
      <c r="L42" s="21" t="str">
        <f>"0,0000"</f>
        <v>0,0000</v>
      </c>
      <c r="M42" s="20" t="s">
        <v>315</v>
      </c>
    </row>
    <row r="43" spans="1:13">
      <c r="A43" s="21" t="s">
        <v>29</v>
      </c>
      <c r="B43" s="20" t="s">
        <v>533</v>
      </c>
      <c r="C43" s="20" t="s">
        <v>1304</v>
      </c>
      <c r="D43" s="20" t="s">
        <v>534</v>
      </c>
      <c r="E43" s="20" t="s">
        <v>1510</v>
      </c>
      <c r="F43" s="20" t="s">
        <v>1403</v>
      </c>
      <c r="G43" s="26" t="s">
        <v>72</v>
      </c>
      <c r="H43" s="26" t="s">
        <v>64</v>
      </c>
      <c r="I43" s="26" t="s">
        <v>65</v>
      </c>
      <c r="J43" s="21"/>
      <c r="K43" s="21" t="str">
        <f>"185,0"</f>
        <v>185,0</v>
      </c>
      <c r="L43" s="21" t="str">
        <f>"130,7619"</f>
        <v>130,7619</v>
      </c>
      <c r="M43" s="20" t="s">
        <v>315</v>
      </c>
    </row>
    <row r="44" spans="1:13">
      <c r="A44" s="21" t="s">
        <v>29</v>
      </c>
      <c r="B44" s="20" t="s">
        <v>535</v>
      </c>
      <c r="C44" s="20" t="s">
        <v>1305</v>
      </c>
      <c r="D44" s="20" t="s">
        <v>536</v>
      </c>
      <c r="E44" s="20" t="s">
        <v>1513</v>
      </c>
      <c r="F44" s="20" t="s">
        <v>1403</v>
      </c>
      <c r="G44" s="27" t="s">
        <v>63</v>
      </c>
      <c r="H44" s="26" t="s">
        <v>63</v>
      </c>
      <c r="I44" s="27" t="s">
        <v>84</v>
      </c>
      <c r="J44" s="21"/>
      <c r="K44" s="21" t="str">
        <f>"160,0"</f>
        <v>160,0</v>
      </c>
      <c r="L44" s="21" t="str">
        <f>"132,1365"</f>
        <v>132,1365</v>
      </c>
      <c r="M44" s="20" t="s">
        <v>315</v>
      </c>
    </row>
    <row r="45" spans="1:13">
      <c r="A45" s="19" t="s">
        <v>29</v>
      </c>
      <c r="B45" s="18" t="s">
        <v>537</v>
      </c>
      <c r="C45" s="18" t="s">
        <v>1213</v>
      </c>
      <c r="D45" s="18" t="s">
        <v>538</v>
      </c>
      <c r="E45" s="18" t="s">
        <v>1514</v>
      </c>
      <c r="F45" s="18" t="s">
        <v>1405</v>
      </c>
      <c r="G45" s="24" t="s">
        <v>213</v>
      </c>
      <c r="H45" s="24" t="s">
        <v>58</v>
      </c>
      <c r="I45" s="24" t="s">
        <v>230</v>
      </c>
      <c r="J45" s="19"/>
      <c r="K45" s="19" t="str">
        <f>"122,5"</f>
        <v>122,5</v>
      </c>
      <c r="L45" s="19" t="str">
        <f>"121,8008"</f>
        <v>121,8008</v>
      </c>
      <c r="M45" s="18" t="s">
        <v>315</v>
      </c>
    </row>
    <row r="46" spans="1:13">
      <c r="B46" s="5" t="s">
        <v>30</v>
      </c>
    </row>
    <row r="47" spans="1:13" ht="16">
      <c r="A47" s="33" t="s">
        <v>10</v>
      </c>
      <c r="B47" s="33"/>
      <c r="C47" s="33"/>
      <c r="D47" s="33"/>
      <c r="E47" s="33"/>
      <c r="F47" s="33"/>
      <c r="G47" s="33"/>
      <c r="H47" s="33"/>
      <c r="I47" s="33"/>
      <c r="J47" s="33"/>
    </row>
    <row r="48" spans="1:13">
      <c r="A48" s="17" t="s">
        <v>29</v>
      </c>
      <c r="B48" s="16" t="s">
        <v>539</v>
      </c>
      <c r="C48" s="16" t="s">
        <v>540</v>
      </c>
      <c r="D48" s="16" t="s">
        <v>541</v>
      </c>
      <c r="E48" s="16" t="s">
        <v>1509</v>
      </c>
      <c r="F48" s="16" t="s">
        <v>1472</v>
      </c>
      <c r="G48" s="22" t="s">
        <v>83</v>
      </c>
      <c r="H48" s="22" t="s">
        <v>17</v>
      </c>
      <c r="I48" s="23" t="s">
        <v>13</v>
      </c>
      <c r="J48" s="17"/>
      <c r="K48" s="17" t="str">
        <f>"235,0"</f>
        <v>235,0</v>
      </c>
      <c r="L48" s="17" t="str">
        <f>"138,4150"</f>
        <v>138,4150</v>
      </c>
      <c r="M48" s="16" t="s">
        <v>315</v>
      </c>
    </row>
    <row r="49" spans="1:13">
      <c r="A49" s="21" t="s">
        <v>189</v>
      </c>
      <c r="B49" s="20" t="s">
        <v>542</v>
      </c>
      <c r="C49" s="20" t="s">
        <v>543</v>
      </c>
      <c r="D49" s="20" t="s">
        <v>544</v>
      </c>
      <c r="E49" s="20" t="s">
        <v>1509</v>
      </c>
      <c r="F49" s="20" t="s">
        <v>1473</v>
      </c>
      <c r="G49" s="26" t="s">
        <v>65</v>
      </c>
      <c r="H49" s="26" t="s">
        <v>163</v>
      </c>
      <c r="I49" s="26" t="s">
        <v>95</v>
      </c>
      <c r="J49" s="21"/>
      <c r="K49" s="21" t="str">
        <f>"197,5"</f>
        <v>197,5</v>
      </c>
      <c r="L49" s="21" t="str">
        <f>"120,0997"</f>
        <v>120,0997</v>
      </c>
      <c r="M49" s="20" t="s">
        <v>315</v>
      </c>
    </row>
    <row r="50" spans="1:13">
      <c r="A50" s="21" t="s">
        <v>29</v>
      </c>
      <c r="B50" s="20" t="s">
        <v>542</v>
      </c>
      <c r="C50" s="20" t="s">
        <v>1306</v>
      </c>
      <c r="D50" s="20" t="s">
        <v>544</v>
      </c>
      <c r="E50" s="20" t="s">
        <v>1510</v>
      </c>
      <c r="F50" s="20" t="s">
        <v>1473</v>
      </c>
      <c r="G50" s="26" t="s">
        <v>65</v>
      </c>
      <c r="H50" s="26" t="s">
        <v>163</v>
      </c>
      <c r="I50" s="26" t="s">
        <v>95</v>
      </c>
      <c r="J50" s="21"/>
      <c r="K50" s="21" t="str">
        <f>"197,5"</f>
        <v>197,5</v>
      </c>
      <c r="L50" s="21" t="str">
        <f>"131,6293"</f>
        <v>131,6293</v>
      </c>
      <c r="M50" s="20" t="s">
        <v>315</v>
      </c>
    </row>
    <row r="51" spans="1:13">
      <c r="A51" s="21" t="s">
        <v>29</v>
      </c>
      <c r="B51" s="20" t="s">
        <v>545</v>
      </c>
      <c r="C51" s="20" t="s">
        <v>1307</v>
      </c>
      <c r="D51" s="20" t="s">
        <v>12</v>
      </c>
      <c r="E51" s="20" t="s">
        <v>1518</v>
      </c>
      <c r="F51" s="20" t="s">
        <v>1474</v>
      </c>
      <c r="G51" s="26" t="s">
        <v>64</v>
      </c>
      <c r="H51" s="26" t="s">
        <v>163</v>
      </c>
      <c r="I51" s="27" t="s">
        <v>385</v>
      </c>
      <c r="J51" s="21"/>
      <c r="K51" s="21" t="str">
        <f>"192,5"</f>
        <v>192,5</v>
      </c>
      <c r="L51" s="21" t="str">
        <f>"130,8769"</f>
        <v>130,8769</v>
      </c>
      <c r="M51" s="20" t="s">
        <v>315</v>
      </c>
    </row>
    <row r="52" spans="1:13">
      <c r="A52" s="21" t="s">
        <v>29</v>
      </c>
      <c r="B52" s="20" t="s">
        <v>546</v>
      </c>
      <c r="C52" s="20" t="s">
        <v>1308</v>
      </c>
      <c r="D52" s="20" t="s">
        <v>547</v>
      </c>
      <c r="E52" s="20" t="s">
        <v>1513</v>
      </c>
      <c r="F52" s="20" t="s">
        <v>1456</v>
      </c>
      <c r="G52" s="26" t="s">
        <v>41</v>
      </c>
      <c r="H52" s="26" t="s">
        <v>42</v>
      </c>
      <c r="I52" s="27" t="s">
        <v>43</v>
      </c>
      <c r="J52" s="21"/>
      <c r="K52" s="21" t="str">
        <f>"140,0"</f>
        <v>140,0</v>
      </c>
      <c r="L52" s="21" t="str">
        <f>"108,5485"</f>
        <v>108,5485</v>
      </c>
      <c r="M52" s="20" t="s">
        <v>315</v>
      </c>
    </row>
    <row r="53" spans="1:13">
      <c r="A53" s="21" t="s">
        <v>29</v>
      </c>
      <c r="B53" s="20" t="s">
        <v>548</v>
      </c>
      <c r="C53" s="20" t="s">
        <v>1309</v>
      </c>
      <c r="D53" s="20" t="s">
        <v>549</v>
      </c>
      <c r="E53" s="20" t="s">
        <v>1516</v>
      </c>
      <c r="F53" s="20" t="s">
        <v>1434</v>
      </c>
      <c r="G53" s="26" t="s">
        <v>42</v>
      </c>
      <c r="H53" s="26" t="s">
        <v>43</v>
      </c>
      <c r="I53" s="27" t="s">
        <v>63</v>
      </c>
      <c r="J53" s="21"/>
      <c r="K53" s="21" t="str">
        <f>"150,0"</f>
        <v>150,0</v>
      </c>
      <c r="L53" s="21" t="str">
        <f>"132,3441"</f>
        <v>132,3441</v>
      </c>
      <c r="M53" s="20" t="s">
        <v>550</v>
      </c>
    </row>
    <row r="54" spans="1:13">
      <c r="A54" s="19" t="s">
        <v>29</v>
      </c>
      <c r="B54" s="18" t="s">
        <v>551</v>
      </c>
      <c r="C54" s="18" t="s">
        <v>1214</v>
      </c>
      <c r="D54" s="18" t="s">
        <v>552</v>
      </c>
      <c r="E54" s="18" t="s">
        <v>1514</v>
      </c>
      <c r="F54" s="18" t="s">
        <v>1461</v>
      </c>
      <c r="G54" s="24" t="s">
        <v>43</v>
      </c>
      <c r="H54" s="25" t="s">
        <v>119</v>
      </c>
      <c r="I54" s="25" t="s">
        <v>119</v>
      </c>
      <c r="J54" s="19"/>
      <c r="K54" s="19" t="str">
        <f>"150,0"</f>
        <v>150,0</v>
      </c>
      <c r="L54" s="19" t="str">
        <f>"141,2866"</f>
        <v>141,2866</v>
      </c>
      <c r="M54" s="18" t="s">
        <v>315</v>
      </c>
    </row>
    <row r="55" spans="1:13">
      <c r="B55" s="5" t="s">
        <v>30</v>
      </c>
    </row>
    <row r="56" spans="1:13" ht="16">
      <c r="A56" s="33" t="s">
        <v>148</v>
      </c>
      <c r="B56" s="33"/>
      <c r="C56" s="33"/>
      <c r="D56" s="33"/>
      <c r="E56" s="33"/>
      <c r="F56" s="33"/>
      <c r="G56" s="33"/>
      <c r="H56" s="33"/>
      <c r="I56" s="33"/>
      <c r="J56" s="33"/>
    </row>
    <row r="57" spans="1:13">
      <c r="A57" s="17" t="s">
        <v>29</v>
      </c>
      <c r="B57" s="16" t="s">
        <v>553</v>
      </c>
      <c r="C57" s="16" t="s">
        <v>554</v>
      </c>
      <c r="D57" s="16" t="s">
        <v>555</v>
      </c>
      <c r="E57" s="16" t="s">
        <v>1509</v>
      </c>
      <c r="F57" s="16" t="s">
        <v>1475</v>
      </c>
      <c r="G57" s="22" t="s">
        <v>77</v>
      </c>
      <c r="H57" s="22" t="s">
        <v>83</v>
      </c>
      <c r="I57" s="22" t="s">
        <v>17</v>
      </c>
      <c r="J57" s="17"/>
      <c r="K57" s="17" t="str">
        <f>"235,0"</f>
        <v>235,0</v>
      </c>
      <c r="L57" s="17" t="str">
        <f>"135,4305"</f>
        <v>135,4305</v>
      </c>
      <c r="M57" s="16" t="s">
        <v>556</v>
      </c>
    </row>
    <row r="58" spans="1:13">
      <c r="A58" s="21" t="s">
        <v>189</v>
      </c>
      <c r="B58" s="20" t="s">
        <v>557</v>
      </c>
      <c r="C58" s="20" t="s">
        <v>558</v>
      </c>
      <c r="D58" s="20" t="s">
        <v>559</v>
      </c>
      <c r="E58" s="20" t="s">
        <v>1509</v>
      </c>
      <c r="F58" s="20" t="s">
        <v>1404</v>
      </c>
      <c r="G58" s="26" t="s">
        <v>108</v>
      </c>
      <c r="H58" s="26" t="s">
        <v>78</v>
      </c>
      <c r="I58" s="27" t="s">
        <v>83</v>
      </c>
      <c r="J58" s="21"/>
      <c r="K58" s="21" t="str">
        <f>"220,0"</f>
        <v>220,0</v>
      </c>
      <c r="L58" s="21" t="str">
        <f>"127,0720"</f>
        <v>127,0720</v>
      </c>
      <c r="M58" s="20" t="s">
        <v>315</v>
      </c>
    </row>
    <row r="59" spans="1:13">
      <c r="A59" s="21" t="s">
        <v>190</v>
      </c>
      <c r="B59" s="20" t="s">
        <v>560</v>
      </c>
      <c r="C59" s="20" t="s">
        <v>561</v>
      </c>
      <c r="D59" s="20" t="s">
        <v>562</v>
      </c>
      <c r="E59" s="20" t="s">
        <v>1509</v>
      </c>
      <c r="F59" s="20" t="s">
        <v>1419</v>
      </c>
      <c r="G59" s="27" t="s">
        <v>96</v>
      </c>
      <c r="H59" s="26" t="s">
        <v>96</v>
      </c>
      <c r="I59" s="27" t="s">
        <v>108</v>
      </c>
      <c r="J59" s="21"/>
      <c r="K59" s="21" t="str">
        <f>"202,5"</f>
        <v>202,5</v>
      </c>
      <c r="L59" s="21" t="str">
        <f>"115,7085"</f>
        <v>115,7085</v>
      </c>
      <c r="M59" s="20" t="s">
        <v>315</v>
      </c>
    </row>
    <row r="60" spans="1:13">
      <c r="A60" s="19" t="s">
        <v>29</v>
      </c>
      <c r="B60" s="18" t="s">
        <v>553</v>
      </c>
      <c r="C60" s="18" t="s">
        <v>1310</v>
      </c>
      <c r="D60" s="18" t="s">
        <v>555</v>
      </c>
      <c r="E60" s="18" t="s">
        <v>1511</v>
      </c>
      <c r="F60" s="18" t="s">
        <v>1475</v>
      </c>
      <c r="G60" s="24" t="s">
        <v>77</v>
      </c>
      <c r="H60" s="24" t="s">
        <v>83</v>
      </c>
      <c r="I60" s="24" t="s">
        <v>17</v>
      </c>
      <c r="J60" s="19"/>
      <c r="K60" s="19" t="str">
        <f>"235,0"</f>
        <v>235,0</v>
      </c>
      <c r="L60" s="19" t="str">
        <f>"141,3894"</f>
        <v>141,3894</v>
      </c>
      <c r="M60" s="18" t="s">
        <v>556</v>
      </c>
    </row>
    <row r="61" spans="1:13">
      <c r="B61" s="5" t="s">
        <v>30</v>
      </c>
    </row>
    <row r="62" spans="1:13" ht="16">
      <c r="A62" s="33" t="s">
        <v>164</v>
      </c>
      <c r="B62" s="33"/>
      <c r="C62" s="33"/>
      <c r="D62" s="33"/>
      <c r="E62" s="33"/>
      <c r="F62" s="33"/>
      <c r="G62" s="33"/>
      <c r="H62" s="33"/>
      <c r="I62" s="33"/>
      <c r="J62" s="33"/>
    </row>
    <row r="63" spans="1:13">
      <c r="A63" s="17" t="s">
        <v>29</v>
      </c>
      <c r="B63" s="16" t="s">
        <v>563</v>
      </c>
      <c r="C63" s="16" t="s">
        <v>564</v>
      </c>
      <c r="D63" s="16" t="s">
        <v>565</v>
      </c>
      <c r="E63" s="16" t="s">
        <v>1509</v>
      </c>
      <c r="F63" s="16" t="s">
        <v>1476</v>
      </c>
      <c r="G63" s="22" t="s">
        <v>103</v>
      </c>
      <c r="H63" s="22" t="s">
        <v>17</v>
      </c>
      <c r="I63" s="23" t="s">
        <v>566</v>
      </c>
      <c r="J63" s="17"/>
      <c r="K63" s="17" t="str">
        <f>"235,0"</f>
        <v>235,0</v>
      </c>
      <c r="L63" s="17" t="str">
        <f>"132,7985"</f>
        <v>132,7985</v>
      </c>
      <c r="M63" s="16" t="s">
        <v>567</v>
      </c>
    </row>
    <row r="64" spans="1:13">
      <c r="A64" s="21" t="s">
        <v>29</v>
      </c>
      <c r="B64" s="20" t="s">
        <v>563</v>
      </c>
      <c r="C64" s="20" t="s">
        <v>1311</v>
      </c>
      <c r="D64" s="20" t="s">
        <v>565</v>
      </c>
      <c r="E64" s="20" t="s">
        <v>1510</v>
      </c>
      <c r="F64" s="20" t="s">
        <v>1476</v>
      </c>
      <c r="G64" s="26" t="s">
        <v>103</v>
      </c>
      <c r="H64" s="26" t="s">
        <v>17</v>
      </c>
      <c r="I64" s="27" t="s">
        <v>566</v>
      </c>
      <c r="J64" s="21"/>
      <c r="K64" s="21" t="str">
        <f>"235,0"</f>
        <v>235,0</v>
      </c>
      <c r="L64" s="21" t="str">
        <f>"143,1568"</f>
        <v>143,1568</v>
      </c>
      <c r="M64" s="20" t="s">
        <v>567</v>
      </c>
    </row>
    <row r="65" spans="1:13">
      <c r="A65" s="19" t="s">
        <v>189</v>
      </c>
      <c r="B65" s="18" t="s">
        <v>568</v>
      </c>
      <c r="C65" s="18" t="s">
        <v>1312</v>
      </c>
      <c r="D65" s="18" t="s">
        <v>569</v>
      </c>
      <c r="E65" s="18" t="s">
        <v>1510</v>
      </c>
      <c r="F65" s="18" t="s">
        <v>1424</v>
      </c>
      <c r="G65" s="24" t="s">
        <v>385</v>
      </c>
      <c r="H65" s="24" t="s">
        <v>91</v>
      </c>
      <c r="I65" s="24" t="s">
        <v>108</v>
      </c>
      <c r="J65" s="19"/>
      <c r="K65" s="19" t="str">
        <f>"210,0"</f>
        <v>210,0</v>
      </c>
      <c r="L65" s="19" t="str">
        <f>"132,1527"</f>
        <v>132,1527</v>
      </c>
      <c r="M65" s="18" t="s">
        <v>570</v>
      </c>
    </row>
    <row r="66" spans="1:13">
      <c r="B66" s="5" t="s">
        <v>30</v>
      </c>
    </row>
    <row r="67" spans="1:13" ht="16">
      <c r="A67" s="33" t="s">
        <v>571</v>
      </c>
      <c r="B67" s="33"/>
      <c r="C67" s="33"/>
      <c r="D67" s="33"/>
      <c r="E67" s="33"/>
      <c r="F67" s="33"/>
      <c r="G67" s="33"/>
      <c r="H67" s="33"/>
      <c r="I67" s="33"/>
      <c r="J67" s="33"/>
    </row>
    <row r="68" spans="1:13">
      <c r="A68" s="17" t="s">
        <v>29</v>
      </c>
      <c r="B68" s="16" t="s">
        <v>572</v>
      </c>
      <c r="C68" s="16" t="s">
        <v>573</v>
      </c>
      <c r="D68" s="16" t="s">
        <v>574</v>
      </c>
      <c r="E68" s="16" t="s">
        <v>1509</v>
      </c>
      <c r="F68" s="16" t="s">
        <v>1477</v>
      </c>
      <c r="G68" s="22" t="s">
        <v>204</v>
      </c>
      <c r="H68" s="22" t="s">
        <v>35</v>
      </c>
      <c r="I68" s="23" t="s">
        <v>198</v>
      </c>
      <c r="J68" s="17"/>
      <c r="K68" s="17" t="str">
        <f>"100,0"</f>
        <v>100,0</v>
      </c>
      <c r="L68" s="17" t="str">
        <f>"55,3700"</f>
        <v>55,3700</v>
      </c>
      <c r="M68" s="16" t="s">
        <v>315</v>
      </c>
    </row>
    <row r="69" spans="1:13">
      <c r="A69" s="19" t="s">
        <v>29</v>
      </c>
      <c r="B69" s="18" t="s">
        <v>572</v>
      </c>
      <c r="C69" s="18" t="s">
        <v>1313</v>
      </c>
      <c r="D69" s="18" t="s">
        <v>574</v>
      </c>
      <c r="E69" s="18" t="s">
        <v>1511</v>
      </c>
      <c r="F69" s="18" t="s">
        <v>1477</v>
      </c>
      <c r="G69" s="24" t="s">
        <v>204</v>
      </c>
      <c r="H69" s="24" t="s">
        <v>35</v>
      </c>
      <c r="I69" s="25" t="s">
        <v>198</v>
      </c>
      <c r="J69" s="19"/>
      <c r="K69" s="19" t="str">
        <f>"100,0"</f>
        <v>100,0</v>
      </c>
      <c r="L69" s="19" t="str">
        <f>"56,9204"</f>
        <v>56,9204</v>
      </c>
      <c r="M69" s="18" t="s">
        <v>315</v>
      </c>
    </row>
    <row r="70" spans="1:13">
      <c r="B70" s="5" t="s">
        <v>30</v>
      </c>
    </row>
    <row r="71" spans="1:13">
      <c r="B71" s="5" t="s">
        <v>30</v>
      </c>
    </row>
    <row r="72" spans="1:13">
      <c r="B72" s="5" t="s">
        <v>30</v>
      </c>
    </row>
    <row r="73" spans="1:13" ht="18">
      <c r="B73" s="9" t="s">
        <v>20</v>
      </c>
      <c r="C73" s="9"/>
      <c r="F73" s="3"/>
    </row>
    <row r="74" spans="1:13" ht="16">
      <c r="B74" s="10" t="s">
        <v>21</v>
      </c>
      <c r="C74" s="10"/>
      <c r="F74" s="3"/>
    </row>
    <row r="75" spans="1:13" ht="14">
      <c r="B75" s="11"/>
      <c r="C75" s="12" t="s">
        <v>175</v>
      </c>
      <c r="F75" s="3"/>
    </row>
    <row r="76" spans="1:13" ht="14">
      <c r="B76" s="13" t="s">
        <v>23</v>
      </c>
      <c r="C76" s="13" t="s">
        <v>24</v>
      </c>
      <c r="D76" s="13" t="s">
        <v>1347</v>
      </c>
      <c r="E76" s="13" t="s">
        <v>575</v>
      </c>
      <c r="F76" s="13" t="s">
        <v>27</v>
      </c>
    </row>
    <row r="77" spans="1:13">
      <c r="B77" s="5" t="s">
        <v>539</v>
      </c>
      <c r="C77" s="5" t="s">
        <v>175</v>
      </c>
      <c r="D77" s="6" t="s">
        <v>28</v>
      </c>
      <c r="E77" s="6" t="s">
        <v>17</v>
      </c>
      <c r="F77" s="6" t="s">
        <v>578</v>
      </c>
    </row>
    <row r="78" spans="1:13">
      <c r="B78" s="5" t="s">
        <v>553</v>
      </c>
      <c r="C78" s="5" t="s">
        <v>175</v>
      </c>
      <c r="D78" s="6" t="s">
        <v>178</v>
      </c>
      <c r="E78" s="6" t="s">
        <v>17</v>
      </c>
      <c r="F78" s="6" t="s">
        <v>579</v>
      </c>
    </row>
    <row r="79" spans="1:13">
      <c r="B79" s="5" t="s">
        <v>563</v>
      </c>
      <c r="C79" s="5" t="s">
        <v>175</v>
      </c>
      <c r="D79" s="6" t="s">
        <v>580</v>
      </c>
      <c r="E79" s="6" t="s">
        <v>17</v>
      </c>
      <c r="F79" s="6" t="s">
        <v>581</v>
      </c>
    </row>
    <row r="81" spans="2:6" ht="14">
      <c r="B81" s="11"/>
      <c r="C81" s="12" t="s">
        <v>22</v>
      </c>
    </row>
    <row r="82" spans="2:6" ht="14">
      <c r="B82" s="13" t="s">
        <v>23</v>
      </c>
      <c r="C82" s="13" t="s">
        <v>24</v>
      </c>
      <c r="D82" s="13" t="s">
        <v>1347</v>
      </c>
      <c r="E82" s="13" t="s">
        <v>575</v>
      </c>
      <c r="F82" s="13" t="s">
        <v>27</v>
      </c>
    </row>
    <row r="83" spans="2:6">
      <c r="B83" s="5" t="s">
        <v>507</v>
      </c>
      <c r="C83" s="5" t="s">
        <v>1301</v>
      </c>
      <c r="D83" s="6" t="s">
        <v>182</v>
      </c>
      <c r="E83" s="6" t="s">
        <v>214</v>
      </c>
      <c r="F83" s="6" t="s">
        <v>582</v>
      </c>
    </row>
    <row r="84" spans="2:6">
      <c r="B84" s="5" t="s">
        <v>563</v>
      </c>
      <c r="C84" s="5" t="s">
        <v>1210</v>
      </c>
      <c r="D84" s="6" t="s">
        <v>580</v>
      </c>
      <c r="E84" s="6" t="s">
        <v>17</v>
      </c>
      <c r="F84" s="6" t="s">
        <v>583</v>
      </c>
    </row>
    <row r="85" spans="2:6">
      <c r="B85" s="5" t="s">
        <v>553</v>
      </c>
      <c r="C85" s="5" t="s">
        <v>1207</v>
      </c>
      <c r="D85" s="6" t="s">
        <v>178</v>
      </c>
      <c r="E85" s="6" t="s">
        <v>17</v>
      </c>
      <c r="F85" s="6" t="s">
        <v>584</v>
      </c>
    </row>
    <row r="86" spans="2:6">
      <c r="B86" s="5" t="s">
        <v>30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67:J67"/>
    <mergeCell ref="A8:J8"/>
    <mergeCell ref="A11:J11"/>
    <mergeCell ref="A14:J14"/>
    <mergeCell ref="A17:J17"/>
    <mergeCell ref="A20:J20"/>
    <mergeCell ref="A23:J23"/>
    <mergeCell ref="A32:J32"/>
    <mergeCell ref="A37:J37"/>
    <mergeCell ref="A47:J47"/>
    <mergeCell ref="A56:J56"/>
    <mergeCell ref="A62:J6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M8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9.1640625" style="5" customWidth="1"/>
    <col min="3" max="3" width="28.5" style="5" bestFit="1" customWidth="1"/>
    <col min="4" max="4" width="15.5" style="5" bestFit="1" customWidth="1"/>
    <col min="5" max="5" width="11.33203125" style="5" customWidth="1"/>
    <col min="6" max="6" width="21.1640625" style="5" customWidth="1"/>
    <col min="7" max="9" width="5.5" style="6" customWidth="1"/>
    <col min="10" max="10" width="4.83203125" style="6" customWidth="1"/>
    <col min="11" max="11" width="10.5" style="28" bestFit="1" customWidth="1"/>
    <col min="12" max="12" width="8.6640625" style="6" customWidth="1"/>
    <col min="13" max="13" width="19" style="5" customWidth="1"/>
    <col min="14" max="16384" width="9.1640625" style="3"/>
  </cols>
  <sheetData>
    <row r="1" spans="1:13" s="2" customFormat="1" ht="29" customHeight="1">
      <c r="A1" s="44" t="s">
        <v>1368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6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7"/>
      <c r="L4" s="39"/>
      <c r="M4" s="41"/>
    </row>
    <row r="5" spans="1:13" ht="16">
      <c r="A5" s="42" t="s">
        <v>79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191</v>
      </c>
      <c r="B6" s="16" t="s">
        <v>790</v>
      </c>
      <c r="C6" s="16" t="s">
        <v>791</v>
      </c>
      <c r="D6" s="16" t="s">
        <v>792</v>
      </c>
      <c r="E6" s="16" t="s">
        <v>1509</v>
      </c>
      <c r="F6" s="16" t="s">
        <v>1400</v>
      </c>
      <c r="G6" s="23" t="s">
        <v>77</v>
      </c>
      <c r="H6" s="23" t="s">
        <v>77</v>
      </c>
      <c r="I6" s="23" t="s">
        <v>77</v>
      </c>
      <c r="J6" s="17"/>
      <c r="K6" s="29">
        <v>0</v>
      </c>
      <c r="L6" s="17" t="str">
        <f>"0,0000"</f>
        <v>0,0000</v>
      </c>
      <c r="M6" s="16" t="s">
        <v>315</v>
      </c>
    </row>
    <row r="7" spans="1:13">
      <c r="A7" s="19" t="s">
        <v>191</v>
      </c>
      <c r="B7" s="18" t="s">
        <v>790</v>
      </c>
      <c r="C7" s="18" t="s">
        <v>1270</v>
      </c>
      <c r="D7" s="18" t="s">
        <v>792</v>
      </c>
      <c r="E7" s="18" t="s">
        <v>1510</v>
      </c>
      <c r="F7" s="18" t="s">
        <v>1400</v>
      </c>
      <c r="G7" s="25" t="s">
        <v>77</v>
      </c>
      <c r="H7" s="25" t="s">
        <v>77</v>
      </c>
      <c r="I7" s="25" t="s">
        <v>77</v>
      </c>
      <c r="J7" s="19"/>
      <c r="K7" s="30">
        <v>0</v>
      </c>
      <c r="L7" s="19" t="str">
        <f>"0,0000"</f>
        <v>0,0000</v>
      </c>
      <c r="M7" s="18" t="s">
        <v>315</v>
      </c>
    </row>
    <row r="8" spans="1:13">
      <c r="B8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6.33203125" style="5" bestFit="1" customWidth="1"/>
    <col min="4" max="4" width="15.5" style="5" bestFit="1" customWidth="1"/>
    <col min="5" max="5" width="12.5" style="5" customWidth="1"/>
    <col min="6" max="6" width="16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9.33203125" style="6" customWidth="1"/>
    <col min="13" max="13" width="17.83203125" style="5" customWidth="1"/>
    <col min="14" max="16384" width="9.1640625" style="3"/>
  </cols>
  <sheetData>
    <row r="1" spans="1:13" s="2" customFormat="1" ht="29" customHeight="1">
      <c r="A1" s="44" t="s">
        <v>1367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4" t="s">
        <v>1507</v>
      </c>
      <c r="F3" s="38" t="s">
        <v>6</v>
      </c>
      <c r="G3" s="38" t="s">
        <v>8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55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148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191</v>
      </c>
      <c r="B6" s="7" t="s">
        <v>793</v>
      </c>
      <c r="C6" s="7" t="s">
        <v>794</v>
      </c>
      <c r="D6" s="7" t="s">
        <v>795</v>
      </c>
      <c r="E6" s="7" t="s">
        <v>1509</v>
      </c>
      <c r="F6" s="7" t="s">
        <v>1478</v>
      </c>
      <c r="G6" s="15" t="s">
        <v>796</v>
      </c>
      <c r="H6" s="15" t="s">
        <v>796</v>
      </c>
      <c r="I6" s="15" t="s">
        <v>159</v>
      </c>
      <c r="J6" s="8"/>
      <c r="K6" s="31">
        <v>0</v>
      </c>
      <c r="L6" s="8" t="str">
        <f>"0,0000"</f>
        <v>0,0000</v>
      </c>
      <c r="M6" s="7" t="s">
        <v>315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M22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7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44" t="s">
        <v>1369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29</v>
      </c>
      <c r="B6" s="16" t="s">
        <v>771</v>
      </c>
      <c r="C6" s="16" t="s">
        <v>772</v>
      </c>
      <c r="D6" s="16" t="s">
        <v>773</v>
      </c>
      <c r="E6" s="16" t="s">
        <v>1509</v>
      </c>
      <c r="F6" s="16" t="s">
        <v>1479</v>
      </c>
      <c r="G6" s="22" t="s">
        <v>95</v>
      </c>
      <c r="H6" s="22" t="s">
        <v>76</v>
      </c>
      <c r="I6" s="23" t="s">
        <v>774</v>
      </c>
      <c r="J6" s="17"/>
      <c r="K6" s="17" t="str">
        <f>"207,5"</f>
        <v>207,5</v>
      </c>
      <c r="L6" s="17" t="str">
        <f>"132,4680"</f>
        <v>132,4680</v>
      </c>
      <c r="M6" s="16" t="s">
        <v>315</v>
      </c>
    </row>
    <row r="7" spans="1:13">
      <c r="A7" s="21" t="s">
        <v>29</v>
      </c>
      <c r="B7" s="20" t="s">
        <v>771</v>
      </c>
      <c r="C7" s="20" t="s">
        <v>1271</v>
      </c>
      <c r="D7" s="20" t="s">
        <v>773</v>
      </c>
      <c r="E7" s="20" t="s">
        <v>1513</v>
      </c>
      <c r="F7" s="20" t="s">
        <v>1479</v>
      </c>
      <c r="G7" s="26" t="s">
        <v>95</v>
      </c>
      <c r="H7" s="26" t="s">
        <v>76</v>
      </c>
      <c r="I7" s="27" t="s">
        <v>774</v>
      </c>
      <c r="J7" s="21"/>
      <c r="K7" s="21" t="str">
        <f>"207,5"</f>
        <v>207,5</v>
      </c>
      <c r="L7" s="21" t="str">
        <f>"165,5850"</f>
        <v>165,5850</v>
      </c>
      <c r="M7" s="20" t="s">
        <v>315</v>
      </c>
    </row>
    <row r="8" spans="1:13">
      <c r="A8" s="19" t="s">
        <v>29</v>
      </c>
      <c r="B8" s="18" t="s">
        <v>516</v>
      </c>
      <c r="C8" s="18" t="s">
        <v>1272</v>
      </c>
      <c r="D8" s="18" t="s">
        <v>360</v>
      </c>
      <c r="E8" s="18" t="s">
        <v>1516</v>
      </c>
      <c r="F8" s="18" t="s">
        <v>517</v>
      </c>
      <c r="G8" s="24" t="s">
        <v>42</v>
      </c>
      <c r="H8" s="24" t="s">
        <v>43</v>
      </c>
      <c r="I8" s="25" t="s">
        <v>119</v>
      </c>
      <c r="J8" s="19"/>
      <c r="K8" s="19" t="str">
        <f>"150,0"</f>
        <v>150,0</v>
      </c>
      <c r="L8" s="19" t="str">
        <f>"136,7771"</f>
        <v>136,7771</v>
      </c>
      <c r="M8" s="18" t="s">
        <v>315</v>
      </c>
    </row>
    <row r="9" spans="1:13">
      <c r="B9" s="5" t="s">
        <v>30</v>
      </c>
    </row>
    <row r="10" spans="1:13" ht="16">
      <c r="A10" s="33" t="s">
        <v>122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3">
      <c r="A11" s="17" t="s">
        <v>29</v>
      </c>
      <c r="B11" s="16" t="s">
        <v>775</v>
      </c>
      <c r="C11" s="16" t="s">
        <v>776</v>
      </c>
      <c r="D11" s="16" t="s">
        <v>777</v>
      </c>
      <c r="E11" s="16" t="s">
        <v>1509</v>
      </c>
      <c r="F11" s="16" t="s">
        <v>1480</v>
      </c>
      <c r="G11" s="22" t="s">
        <v>15</v>
      </c>
      <c r="H11" s="22" t="s">
        <v>126</v>
      </c>
      <c r="I11" s="22" t="s">
        <v>144</v>
      </c>
      <c r="J11" s="17"/>
      <c r="K11" s="17" t="str">
        <f>"300,0"</f>
        <v>300,0</v>
      </c>
      <c r="L11" s="17" t="str">
        <f>"182,6400"</f>
        <v>182,6400</v>
      </c>
      <c r="M11" s="16" t="s">
        <v>778</v>
      </c>
    </row>
    <row r="12" spans="1:13">
      <c r="A12" s="19" t="s">
        <v>29</v>
      </c>
      <c r="B12" s="18" t="s">
        <v>775</v>
      </c>
      <c r="C12" s="18" t="s">
        <v>1273</v>
      </c>
      <c r="D12" s="18" t="s">
        <v>777</v>
      </c>
      <c r="E12" s="18" t="s">
        <v>1510</v>
      </c>
      <c r="F12" s="18" t="s">
        <v>1480</v>
      </c>
      <c r="G12" s="24" t="s">
        <v>15</v>
      </c>
      <c r="H12" s="24" t="s">
        <v>126</v>
      </c>
      <c r="I12" s="24" t="s">
        <v>144</v>
      </c>
      <c r="J12" s="19"/>
      <c r="K12" s="19" t="str">
        <f>"300,0"</f>
        <v>300,0</v>
      </c>
      <c r="L12" s="19" t="str">
        <f>"203,4610"</f>
        <v>203,4610</v>
      </c>
      <c r="M12" s="18" t="s">
        <v>778</v>
      </c>
    </row>
    <row r="13" spans="1:13">
      <c r="B13" s="5" t="s">
        <v>30</v>
      </c>
    </row>
    <row r="14" spans="1:13" ht="16">
      <c r="A14" s="33" t="s">
        <v>10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7" t="s">
        <v>29</v>
      </c>
      <c r="B15" s="16" t="s">
        <v>542</v>
      </c>
      <c r="C15" s="16" t="s">
        <v>543</v>
      </c>
      <c r="D15" s="16" t="s">
        <v>544</v>
      </c>
      <c r="E15" s="16" t="s">
        <v>1509</v>
      </c>
      <c r="F15" s="16" t="s">
        <v>1473</v>
      </c>
      <c r="G15" s="23" t="s">
        <v>18</v>
      </c>
      <c r="H15" s="22" t="s">
        <v>18</v>
      </c>
      <c r="I15" s="23" t="s">
        <v>14</v>
      </c>
      <c r="J15" s="17"/>
      <c r="K15" s="17" t="str">
        <f>"245,0"</f>
        <v>245,0</v>
      </c>
      <c r="L15" s="17" t="str">
        <f>"148,9845"</f>
        <v>148,9845</v>
      </c>
      <c r="M15" s="16" t="s">
        <v>315</v>
      </c>
    </row>
    <row r="16" spans="1:13">
      <c r="A16" s="21" t="s">
        <v>189</v>
      </c>
      <c r="B16" s="20" t="s">
        <v>779</v>
      </c>
      <c r="C16" s="20" t="s">
        <v>780</v>
      </c>
      <c r="D16" s="20" t="s">
        <v>781</v>
      </c>
      <c r="E16" s="20" t="s">
        <v>1509</v>
      </c>
      <c r="F16" s="20" t="s">
        <v>1403</v>
      </c>
      <c r="G16" s="26" t="s">
        <v>319</v>
      </c>
      <c r="H16" s="27" t="s">
        <v>14</v>
      </c>
      <c r="I16" s="27" t="s">
        <v>782</v>
      </c>
      <c r="J16" s="21"/>
      <c r="K16" s="21" t="str">
        <f>"232,5"</f>
        <v>232,5</v>
      </c>
      <c r="L16" s="21" t="str">
        <f>"136,8263"</f>
        <v>136,8263</v>
      </c>
      <c r="M16" s="20" t="s">
        <v>1382</v>
      </c>
    </row>
    <row r="17" spans="1:13">
      <c r="A17" s="21" t="s">
        <v>190</v>
      </c>
      <c r="B17" s="20" t="s">
        <v>783</v>
      </c>
      <c r="C17" s="20" t="s">
        <v>784</v>
      </c>
      <c r="D17" s="20" t="s">
        <v>785</v>
      </c>
      <c r="E17" s="20" t="s">
        <v>1509</v>
      </c>
      <c r="F17" s="20" t="s">
        <v>1403</v>
      </c>
      <c r="G17" s="26" t="s">
        <v>78</v>
      </c>
      <c r="H17" s="27" t="s">
        <v>319</v>
      </c>
      <c r="I17" s="27" t="s">
        <v>319</v>
      </c>
      <c r="J17" s="21"/>
      <c r="K17" s="21" t="str">
        <f>"220,0"</f>
        <v>220,0</v>
      </c>
      <c r="L17" s="21" t="str">
        <f>"130,4160"</f>
        <v>130,4160</v>
      </c>
      <c r="M17" s="20" t="s">
        <v>786</v>
      </c>
    </row>
    <row r="18" spans="1:13">
      <c r="A18" s="19" t="s">
        <v>29</v>
      </c>
      <c r="B18" s="18" t="s">
        <v>11</v>
      </c>
      <c r="C18" s="18" t="s">
        <v>1274</v>
      </c>
      <c r="D18" s="18" t="s">
        <v>12</v>
      </c>
      <c r="E18" s="18" t="s">
        <v>1516</v>
      </c>
      <c r="F18" s="18" t="s">
        <v>1446</v>
      </c>
      <c r="G18" s="25" t="s">
        <v>16</v>
      </c>
      <c r="H18" s="25" t="s">
        <v>17</v>
      </c>
      <c r="I18" s="24" t="s">
        <v>17</v>
      </c>
      <c r="J18" s="19"/>
      <c r="K18" s="19" t="str">
        <f>"235,0"</f>
        <v>235,0</v>
      </c>
      <c r="L18" s="19" t="str">
        <f>"191,7262"</f>
        <v>191,7262</v>
      </c>
      <c r="M18" s="18" t="s">
        <v>315</v>
      </c>
    </row>
    <row r="19" spans="1:13">
      <c r="B19" s="5" t="s">
        <v>30</v>
      </c>
    </row>
    <row r="20" spans="1:13" ht="16">
      <c r="A20" s="33" t="s">
        <v>148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3">
      <c r="A21" s="8" t="s">
        <v>29</v>
      </c>
      <c r="B21" s="7" t="s">
        <v>787</v>
      </c>
      <c r="C21" s="7" t="s">
        <v>788</v>
      </c>
      <c r="D21" s="7" t="s">
        <v>789</v>
      </c>
      <c r="E21" s="7" t="s">
        <v>1509</v>
      </c>
      <c r="F21" s="7" t="s">
        <v>1446</v>
      </c>
      <c r="G21" s="15" t="s">
        <v>177</v>
      </c>
      <c r="H21" s="15" t="s">
        <v>177</v>
      </c>
      <c r="I21" s="14" t="s">
        <v>177</v>
      </c>
      <c r="J21" s="8"/>
      <c r="K21" s="8" t="str">
        <f>"320,0"</f>
        <v>320,0</v>
      </c>
      <c r="L21" s="8" t="str">
        <f>"183,8080"</f>
        <v>183,8080</v>
      </c>
      <c r="M21" s="7" t="s">
        <v>1381</v>
      </c>
    </row>
    <row r="22" spans="1:13">
      <c r="B22" s="5" t="s">
        <v>30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4:J14"/>
    <mergeCell ref="A20:J20"/>
    <mergeCell ref="B3:B4"/>
    <mergeCell ref="K3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3.83203125" style="5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19.83203125" style="5" bestFit="1" customWidth="1"/>
    <col min="14" max="16384" width="9.1640625" style="3"/>
  </cols>
  <sheetData>
    <row r="1" spans="1:13" s="2" customFormat="1" ht="29" customHeight="1">
      <c r="A1" s="44" t="s">
        <v>1337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6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7"/>
      <c r="L4" s="39"/>
      <c r="M4" s="41"/>
    </row>
    <row r="5" spans="1:13" ht="16">
      <c r="A5" s="42" t="s">
        <v>45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29</v>
      </c>
      <c r="B6" s="16" t="s">
        <v>1183</v>
      </c>
      <c r="C6" s="16" t="s">
        <v>1202</v>
      </c>
      <c r="D6" s="16" t="s">
        <v>1184</v>
      </c>
      <c r="E6" s="16" t="s">
        <v>1512</v>
      </c>
      <c r="F6" s="16" t="s">
        <v>1453</v>
      </c>
      <c r="G6" s="22" t="s">
        <v>59</v>
      </c>
      <c r="H6" s="23" t="s">
        <v>49</v>
      </c>
      <c r="I6" s="23" t="s">
        <v>35</v>
      </c>
      <c r="J6" s="17"/>
      <c r="K6" s="29" t="str">
        <f>"85,0"</f>
        <v>85,0</v>
      </c>
      <c r="L6" s="17" t="str">
        <f>"88,2300"</f>
        <v>88,2300</v>
      </c>
      <c r="M6" s="16" t="s">
        <v>1346</v>
      </c>
    </row>
    <row r="7" spans="1:13">
      <c r="A7" s="19" t="s">
        <v>29</v>
      </c>
      <c r="B7" s="18" t="s">
        <v>1183</v>
      </c>
      <c r="C7" s="18" t="s">
        <v>1185</v>
      </c>
      <c r="D7" s="18" t="s">
        <v>1184</v>
      </c>
      <c r="E7" s="18" t="s">
        <v>1509</v>
      </c>
      <c r="F7" s="18" t="s">
        <v>1453</v>
      </c>
      <c r="G7" s="24" t="s">
        <v>59</v>
      </c>
      <c r="H7" s="25" t="s">
        <v>49</v>
      </c>
      <c r="I7" s="25" t="s">
        <v>35</v>
      </c>
      <c r="J7" s="19"/>
      <c r="K7" s="30" t="str">
        <f>"85,0"</f>
        <v>85,0</v>
      </c>
      <c r="L7" s="19" t="str">
        <f>"88,2300"</f>
        <v>88,2300</v>
      </c>
      <c r="M7" s="18" t="s">
        <v>1346</v>
      </c>
    </row>
    <row r="8" spans="1:13">
      <c r="B8" s="5" t="s">
        <v>30</v>
      </c>
    </row>
    <row r="9" spans="1:13" ht="16">
      <c r="A9" s="33" t="s">
        <v>54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17" t="s">
        <v>29</v>
      </c>
      <c r="B10" s="16" t="s">
        <v>1186</v>
      </c>
      <c r="C10" s="16" t="s">
        <v>1187</v>
      </c>
      <c r="D10" s="16" t="s">
        <v>1188</v>
      </c>
      <c r="E10" s="16" t="s">
        <v>1509</v>
      </c>
      <c r="F10" s="16" t="s">
        <v>1481</v>
      </c>
      <c r="G10" s="23" t="s">
        <v>42</v>
      </c>
      <c r="H10" s="22" t="s">
        <v>42</v>
      </c>
      <c r="I10" s="22" t="s">
        <v>134</v>
      </c>
      <c r="J10" s="17"/>
      <c r="K10" s="29" t="str">
        <f>"152,5"</f>
        <v>152,5</v>
      </c>
      <c r="L10" s="17" t="str">
        <f>"107,3524"</f>
        <v>107,3524</v>
      </c>
      <c r="M10" s="16" t="s">
        <v>1189</v>
      </c>
    </row>
    <row r="11" spans="1:13">
      <c r="A11" s="19" t="s">
        <v>29</v>
      </c>
      <c r="B11" s="18" t="s">
        <v>1186</v>
      </c>
      <c r="C11" s="18" t="s">
        <v>1203</v>
      </c>
      <c r="D11" s="18" t="s">
        <v>1188</v>
      </c>
      <c r="E11" s="18" t="s">
        <v>1511</v>
      </c>
      <c r="F11" s="18" t="s">
        <v>1481</v>
      </c>
      <c r="G11" s="25" t="s">
        <v>42</v>
      </c>
      <c r="H11" s="24" t="s">
        <v>42</v>
      </c>
      <c r="I11" s="24" t="s">
        <v>134</v>
      </c>
      <c r="J11" s="19"/>
      <c r="K11" s="30" t="str">
        <f>"152,5"</f>
        <v>152,5</v>
      </c>
      <c r="L11" s="19" t="str">
        <f>"116,1553"</f>
        <v>116,1553</v>
      </c>
      <c r="M11" s="18" t="s">
        <v>1189</v>
      </c>
    </row>
    <row r="12" spans="1:13">
      <c r="B12" s="5" t="s">
        <v>30</v>
      </c>
    </row>
    <row r="13" spans="1:13" ht="16">
      <c r="A13" s="33" t="s">
        <v>67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3">
      <c r="A14" s="8" t="s">
        <v>29</v>
      </c>
      <c r="B14" s="7" t="s">
        <v>1190</v>
      </c>
      <c r="C14" s="7" t="s">
        <v>1191</v>
      </c>
      <c r="D14" s="7" t="s">
        <v>1192</v>
      </c>
      <c r="E14" s="7" t="s">
        <v>1509</v>
      </c>
      <c r="F14" s="7" t="s">
        <v>1403</v>
      </c>
      <c r="G14" s="14" t="s">
        <v>13</v>
      </c>
      <c r="H14" s="15" t="s">
        <v>112</v>
      </c>
      <c r="I14" s="14" t="s">
        <v>112</v>
      </c>
      <c r="J14" s="8"/>
      <c r="K14" s="31" t="str">
        <f>"250,0"</f>
        <v>250,0</v>
      </c>
      <c r="L14" s="8" t="str">
        <f>"173,8625"</f>
        <v>173,8625</v>
      </c>
      <c r="M14" s="7" t="s">
        <v>315</v>
      </c>
    </row>
    <row r="15" spans="1:13">
      <c r="B15" s="5" t="s">
        <v>30</v>
      </c>
    </row>
    <row r="16" spans="1:13" ht="16">
      <c r="A16" s="33" t="s">
        <v>98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3">
      <c r="A17" s="8" t="s">
        <v>29</v>
      </c>
      <c r="B17" s="7" t="s">
        <v>1193</v>
      </c>
      <c r="C17" s="7" t="s">
        <v>1194</v>
      </c>
      <c r="D17" s="7" t="s">
        <v>1195</v>
      </c>
      <c r="E17" s="7" t="s">
        <v>1509</v>
      </c>
      <c r="F17" s="7" t="s">
        <v>1482</v>
      </c>
      <c r="G17" s="14" t="s">
        <v>381</v>
      </c>
      <c r="H17" s="14" t="s">
        <v>385</v>
      </c>
      <c r="I17" s="15" t="s">
        <v>91</v>
      </c>
      <c r="J17" s="8"/>
      <c r="K17" s="31" t="str">
        <f>"195,0"</f>
        <v>195,0</v>
      </c>
      <c r="L17" s="8" t="str">
        <f>"121,2412"</f>
        <v>121,2412</v>
      </c>
      <c r="M17" s="7" t="s">
        <v>1196</v>
      </c>
    </row>
    <row r="18" spans="1:13">
      <c r="B18" s="5" t="s">
        <v>30</v>
      </c>
    </row>
    <row r="19" spans="1:13" ht="16">
      <c r="A19" s="33" t="s">
        <v>122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3">
      <c r="A20" s="8" t="s">
        <v>191</v>
      </c>
      <c r="B20" s="7" t="s">
        <v>373</v>
      </c>
      <c r="C20" s="7" t="s">
        <v>374</v>
      </c>
      <c r="D20" s="7" t="s">
        <v>375</v>
      </c>
      <c r="E20" s="7" t="s">
        <v>1509</v>
      </c>
      <c r="F20" s="7" t="s">
        <v>1419</v>
      </c>
      <c r="G20" s="15" t="s">
        <v>112</v>
      </c>
      <c r="H20" s="8"/>
      <c r="I20" s="8"/>
      <c r="J20" s="8"/>
      <c r="K20" s="31">
        <v>0</v>
      </c>
      <c r="L20" s="8" t="str">
        <f>"0,0000"</f>
        <v>0,0000</v>
      </c>
      <c r="M20" s="7" t="s">
        <v>151</v>
      </c>
    </row>
    <row r="21" spans="1:13">
      <c r="B21" s="5" t="s">
        <v>30</v>
      </c>
    </row>
    <row r="22" spans="1:13" ht="16">
      <c r="A22" s="33" t="s">
        <v>10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3">
      <c r="A23" s="17" t="s">
        <v>29</v>
      </c>
      <c r="B23" s="16" t="s">
        <v>717</v>
      </c>
      <c r="C23" s="16" t="s">
        <v>718</v>
      </c>
      <c r="D23" s="16" t="s">
        <v>716</v>
      </c>
      <c r="E23" s="16" t="s">
        <v>1509</v>
      </c>
      <c r="F23" s="16" t="s">
        <v>1453</v>
      </c>
      <c r="G23" s="23" t="s">
        <v>86</v>
      </c>
      <c r="H23" s="23" t="s">
        <v>86</v>
      </c>
      <c r="I23" s="22" t="s">
        <v>86</v>
      </c>
      <c r="J23" s="17"/>
      <c r="K23" s="29" t="str">
        <f>"260,0"</f>
        <v>260,0</v>
      </c>
      <c r="L23" s="17" t="str">
        <f>"146,4320"</f>
        <v>146,4320</v>
      </c>
      <c r="M23" s="16" t="s">
        <v>315</v>
      </c>
    </row>
    <row r="24" spans="1:13">
      <c r="A24" s="21" t="s">
        <v>29</v>
      </c>
      <c r="B24" s="20" t="s">
        <v>717</v>
      </c>
      <c r="C24" s="20" t="s">
        <v>1204</v>
      </c>
      <c r="D24" s="20" t="s">
        <v>716</v>
      </c>
      <c r="E24" s="20" t="s">
        <v>1511</v>
      </c>
      <c r="F24" s="20" t="s">
        <v>1453</v>
      </c>
      <c r="G24" s="27" t="s">
        <v>86</v>
      </c>
      <c r="H24" s="27" t="s">
        <v>86</v>
      </c>
      <c r="I24" s="26" t="s">
        <v>86</v>
      </c>
      <c r="J24" s="21"/>
      <c r="K24" s="32" t="str">
        <f>"260,0"</f>
        <v>260,0</v>
      </c>
      <c r="L24" s="21" t="str">
        <f>"150,9714"</f>
        <v>150,9714</v>
      </c>
      <c r="M24" s="20" t="s">
        <v>315</v>
      </c>
    </row>
    <row r="25" spans="1:13">
      <c r="A25" s="19" t="s">
        <v>29</v>
      </c>
      <c r="B25" s="18" t="s">
        <v>1197</v>
      </c>
      <c r="C25" s="18" t="s">
        <v>1205</v>
      </c>
      <c r="D25" s="18" t="s">
        <v>716</v>
      </c>
      <c r="E25" s="18" t="s">
        <v>1510</v>
      </c>
      <c r="F25" s="18" t="s">
        <v>1404</v>
      </c>
      <c r="G25" s="24" t="s">
        <v>78</v>
      </c>
      <c r="H25" s="24" t="s">
        <v>17</v>
      </c>
      <c r="I25" s="24" t="s">
        <v>13</v>
      </c>
      <c r="J25" s="19"/>
      <c r="K25" s="30" t="str">
        <f>"240,0"</f>
        <v>240,0</v>
      </c>
      <c r="L25" s="19" t="str">
        <f>"160,0389"</f>
        <v>160,0389</v>
      </c>
      <c r="M25" s="18" t="s">
        <v>315</v>
      </c>
    </row>
    <row r="26" spans="1:13">
      <c r="B26" s="5" t="s">
        <v>30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2:J22"/>
    <mergeCell ref="A5:J5"/>
    <mergeCell ref="A9:J9"/>
    <mergeCell ref="A13:J13"/>
    <mergeCell ref="A16:J16"/>
    <mergeCell ref="A19:J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4" t="s">
        <v>1338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79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1175</v>
      </c>
      <c r="C6" s="7" t="s">
        <v>1176</v>
      </c>
      <c r="D6" s="7" t="s">
        <v>1177</v>
      </c>
      <c r="E6" s="7" t="s">
        <v>1509</v>
      </c>
      <c r="F6" s="7" t="s">
        <v>1419</v>
      </c>
      <c r="G6" s="14" t="s">
        <v>14</v>
      </c>
      <c r="H6" s="14" t="s">
        <v>19</v>
      </c>
      <c r="I6" s="15" t="s">
        <v>15</v>
      </c>
      <c r="J6" s="8"/>
      <c r="K6" s="8" t="str">
        <f>"262,5"</f>
        <v>262,5</v>
      </c>
      <c r="L6" s="8" t="str">
        <f>"171,8063"</f>
        <v>171,8063</v>
      </c>
      <c r="M6" s="7" t="s">
        <v>1178</v>
      </c>
    </row>
    <row r="7" spans="1:13">
      <c r="B7" s="5" t="s">
        <v>30</v>
      </c>
    </row>
    <row r="8" spans="1:13" ht="16">
      <c r="A8" s="33" t="s">
        <v>122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29</v>
      </c>
      <c r="B9" s="7" t="s">
        <v>1179</v>
      </c>
      <c r="C9" s="7" t="s">
        <v>1180</v>
      </c>
      <c r="D9" s="7" t="s">
        <v>1181</v>
      </c>
      <c r="E9" s="7" t="s">
        <v>1509</v>
      </c>
      <c r="F9" s="7" t="s">
        <v>1403</v>
      </c>
      <c r="G9" s="14" t="s">
        <v>18</v>
      </c>
      <c r="H9" s="15" t="s">
        <v>112</v>
      </c>
      <c r="I9" s="15" t="s">
        <v>112</v>
      </c>
      <c r="J9" s="8"/>
      <c r="K9" s="8" t="str">
        <f>"245,0"</f>
        <v>245,0</v>
      </c>
      <c r="L9" s="8" t="str">
        <f>"143,0310"</f>
        <v>143,0310</v>
      </c>
      <c r="M9" s="7" t="s">
        <v>1182</v>
      </c>
    </row>
    <row r="10" spans="1:13">
      <c r="B10" s="5" t="s">
        <v>30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8.5" style="5" bestFit="1" customWidth="1"/>
    <col min="4" max="4" width="15.5" style="5" bestFit="1" customWidth="1"/>
    <col min="5" max="5" width="11.83203125" style="5" customWidth="1"/>
    <col min="6" max="6" width="21.33203125" style="5" customWidth="1"/>
    <col min="7" max="9" width="5.5" style="6" customWidth="1"/>
    <col min="10" max="10" width="4.83203125" style="6" customWidth="1"/>
    <col min="11" max="11" width="11" style="28" customWidth="1"/>
    <col min="12" max="12" width="11.5" style="6" customWidth="1"/>
    <col min="13" max="13" width="20.6640625" style="5" customWidth="1"/>
    <col min="14" max="16384" width="9.1640625" style="3"/>
  </cols>
  <sheetData>
    <row r="1" spans="1:13" s="2" customFormat="1" ht="29" customHeight="1">
      <c r="A1" s="44" t="s">
        <v>1336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6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7"/>
      <c r="L4" s="39"/>
      <c r="M4" s="41"/>
    </row>
    <row r="5" spans="1:13" ht="16">
      <c r="A5" s="42" t="s">
        <v>164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191</v>
      </c>
      <c r="B6" s="16" t="s">
        <v>1198</v>
      </c>
      <c r="C6" s="16" t="s">
        <v>1199</v>
      </c>
      <c r="D6" s="16" t="s">
        <v>1200</v>
      </c>
      <c r="E6" s="16" t="s">
        <v>1509</v>
      </c>
      <c r="F6" s="16" t="s">
        <v>1468</v>
      </c>
      <c r="G6" s="23" t="s">
        <v>168</v>
      </c>
      <c r="H6" s="23" t="s">
        <v>168</v>
      </c>
      <c r="I6" s="23" t="s">
        <v>168</v>
      </c>
      <c r="J6" s="17"/>
      <c r="K6" s="29">
        <v>0</v>
      </c>
      <c r="L6" s="17" t="str">
        <f>"0,0000"</f>
        <v>0,0000</v>
      </c>
      <c r="M6" s="16" t="s">
        <v>315</v>
      </c>
    </row>
    <row r="7" spans="1:13">
      <c r="A7" s="19" t="s">
        <v>191</v>
      </c>
      <c r="B7" s="18" t="s">
        <v>1198</v>
      </c>
      <c r="C7" s="18" t="s">
        <v>1201</v>
      </c>
      <c r="D7" s="18" t="s">
        <v>1200</v>
      </c>
      <c r="E7" s="18" t="s">
        <v>1511</v>
      </c>
      <c r="F7" s="18" t="s">
        <v>1468</v>
      </c>
      <c r="G7" s="25" t="s">
        <v>168</v>
      </c>
      <c r="H7" s="25" t="s">
        <v>168</v>
      </c>
      <c r="I7" s="25" t="s">
        <v>168</v>
      </c>
      <c r="J7" s="19"/>
      <c r="K7" s="30">
        <v>0</v>
      </c>
      <c r="L7" s="19" t="str">
        <f>"0,0000"</f>
        <v>0,0000</v>
      </c>
      <c r="M7" s="18" t="s">
        <v>315</v>
      </c>
    </row>
    <row r="8" spans="1:13">
      <c r="B8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62"/>
  <sheetViews>
    <sheetView topLeftCell="A7" workbookViewId="0">
      <selection activeCell="E45" sqref="E45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4" t="s">
        <v>1339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275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29</v>
      </c>
      <c r="B6" s="16" t="s">
        <v>1119</v>
      </c>
      <c r="C6" s="16" t="s">
        <v>1120</v>
      </c>
      <c r="D6" s="16" t="s">
        <v>975</v>
      </c>
      <c r="E6" s="16" t="s">
        <v>1510</v>
      </c>
      <c r="F6" s="16" t="s">
        <v>1483</v>
      </c>
      <c r="G6" s="22" t="s">
        <v>211</v>
      </c>
      <c r="H6" s="22" t="s">
        <v>236</v>
      </c>
      <c r="I6" s="22" t="s">
        <v>212</v>
      </c>
      <c r="J6" s="17"/>
      <c r="K6" s="17" t="str">
        <f>"60,0"</f>
        <v>60,0</v>
      </c>
      <c r="L6" s="17" t="str">
        <f>"69,6588"</f>
        <v>69,6588</v>
      </c>
      <c r="M6" s="16" t="s">
        <v>1121</v>
      </c>
    </row>
    <row r="7" spans="1:13">
      <c r="A7" s="19" t="s">
        <v>29</v>
      </c>
      <c r="B7" s="18" t="s">
        <v>1122</v>
      </c>
      <c r="C7" s="18" t="s">
        <v>1123</v>
      </c>
      <c r="D7" s="18" t="s">
        <v>1124</v>
      </c>
      <c r="E7" s="18" t="s">
        <v>1518</v>
      </c>
      <c r="F7" s="18" t="s">
        <v>1483</v>
      </c>
      <c r="G7" s="24" t="s">
        <v>244</v>
      </c>
      <c r="H7" s="24" t="s">
        <v>196</v>
      </c>
      <c r="I7" s="25" t="s">
        <v>197</v>
      </c>
      <c r="J7" s="19"/>
      <c r="K7" s="19" t="str">
        <f>"42,5"</f>
        <v>42,5</v>
      </c>
      <c r="L7" s="19" t="str">
        <f>"54,0579"</f>
        <v>54,0579</v>
      </c>
      <c r="M7" s="18" t="s">
        <v>938</v>
      </c>
    </row>
    <row r="8" spans="1:13">
      <c r="B8" s="5" t="s">
        <v>30</v>
      </c>
    </row>
    <row r="9" spans="1:13" ht="16">
      <c r="A9" s="33" t="s">
        <v>79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8" t="s">
        <v>29</v>
      </c>
      <c r="B10" s="7" t="s">
        <v>1125</v>
      </c>
      <c r="C10" s="7" t="s">
        <v>1126</v>
      </c>
      <c r="D10" s="7" t="s">
        <v>1127</v>
      </c>
      <c r="E10" s="7" t="s">
        <v>1513</v>
      </c>
      <c r="F10" s="7" t="s">
        <v>1484</v>
      </c>
      <c r="G10" s="14" t="s">
        <v>218</v>
      </c>
      <c r="H10" s="14" t="s">
        <v>211</v>
      </c>
      <c r="I10" s="14" t="s">
        <v>212</v>
      </c>
      <c r="J10" s="15" t="s">
        <v>38</v>
      </c>
      <c r="K10" s="8" t="str">
        <f>"60,0"</f>
        <v>60,0</v>
      </c>
      <c r="L10" s="8" t="str">
        <f>"88,4271"</f>
        <v>88,4271</v>
      </c>
      <c r="M10" s="7" t="s">
        <v>1121</v>
      </c>
    </row>
    <row r="11" spans="1:13">
      <c r="B11" s="5" t="s">
        <v>30</v>
      </c>
    </row>
    <row r="12" spans="1:13" ht="16">
      <c r="A12" s="33" t="s">
        <v>98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17" t="s">
        <v>29</v>
      </c>
      <c r="B13" s="16" t="s">
        <v>1128</v>
      </c>
      <c r="C13" s="16" t="s">
        <v>1129</v>
      </c>
      <c r="D13" s="16" t="s">
        <v>448</v>
      </c>
      <c r="E13" s="16" t="s">
        <v>1518</v>
      </c>
      <c r="F13" s="16" t="s">
        <v>1483</v>
      </c>
      <c r="G13" s="22" t="s">
        <v>50</v>
      </c>
      <c r="H13" s="22" t="s">
        <v>51</v>
      </c>
      <c r="I13" s="22" t="s">
        <v>52</v>
      </c>
      <c r="J13" s="17"/>
      <c r="K13" s="17" t="str">
        <f>"82,5"</f>
        <v>82,5</v>
      </c>
      <c r="L13" s="17" t="str">
        <f>"88,1120"</f>
        <v>88,1120</v>
      </c>
      <c r="M13" s="16" t="s">
        <v>938</v>
      </c>
    </row>
    <row r="14" spans="1:13">
      <c r="A14" s="19" t="s">
        <v>29</v>
      </c>
      <c r="B14" s="18" t="s">
        <v>1130</v>
      </c>
      <c r="C14" s="18" t="s">
        <v>1131</v>
      </c>
      <c r="D14" s="18" t="s">
        <v>871</v>
      </c>
      <c r="E14" s="18" t="s">
        <v>1513</v>
      </c>
      <c r="F14" s="18" t="s">
        <v>1404</v>
      </c>
      <c r="G14" s="24" t="s">
        <v>196</v>
      </c>
      <c r="H14" s="24" t="s">
        <v>223</v>
      </c>
      <c r="I14" s="24" t="s">
        <v>218</v>
      </c>
      <c r="J14" s="19"/>
      <c r="K14" s="19" t="str">
        <f>"50,0"</f>
        <v>50,0</v>
      </c>
      <c r="L14" s="19" t="str">
        <f>"67,5459"</f>
        <v>67,5459</v>
      </c>
      <c r="M14" s="18" t="s">
        <v>496</v>
      </c>
    </row>
    <row r="15" spans="1:13">
      <c r="B15" s="5" t="s">
        <v>30</v>
      </c>
    </row>
    <row r="16" spans="1:13" ht="16">
      <c r="A16" s="33" t="s">
        <v>226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3">
      <c r="A17" s="8" t="s">
        <v>29</v>
      </c>
      <c r="B17" s="7" t="s">
        <v>956</v>
      </c>
      <c r="C17" s="7" t="s">
        <v>1217</v>
      </c>
      <c r="D17" s="7" t="s">
        <v>957</v>
      </c>
      <c r="E17" s="7" t="s">
        <v>1512</v>
      </c>
      <c r="F17" s="7" t="s">
        <v>1485</v>
      </c>
      <c r="G17" s="14" t="s">
        <v>236</v>
      </c>
      <c r="H17" s="14" t="s">
        <v>212</v>
      </c>
      <c r="I17" s="14" t="s">
        <v>38</v>
      </c>
      <c r="J17" s="8"/>
      <c r="K17" s="8" t="str">
        <f>"62,5"</f>
        <v>62,5</v>
      </c>
      <c r="L17" s="8" t="str">
        <f>"62,9750"</f>
        <v>62,9750</v>
      </c>
      <c r="M17" s="7" t="s">
        <v>958</v>
      </c>
    </row>
    <row r="18" spans="1:13">
      <c r="B18" s="5" t="s">
        <v>30</v>
      </c>
    </row>
    <row r="19" spans="1:13" ht="16">
      <c r="A19" s="33" t="s">
        <v>275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3">
      <c r="A20" s="17" t="s">
        <v>29</v>
      </c>
      <c r="B20" s="16" t="s">
        <v>1132</v>
      </c>
      <c r="C20" s="16" t="s">
        <v>1133</v>
      </c>
      <c r="D20" s="16" t="s">
        <v>1134</v>
      </c>
      <c r="E20" s="16" t="s">
        <v>1509</v>
      </c>
      <c r="F20" s="16" t="s">
        <v>1477</v>
      </c>
      <c r="G20" s="22" t="s">
        <v>49</v>
      </c>
      <c r="H20" s="22" t="s">
        <v>213</v>
      </c>
      <c r="I20" s="23" t="s">
        <v>41</v>
      </c>
      <c r="J20" s="17"/>
      <c r="K20" s="17" t="str">
        <f>"115,0"</f>
        <v>115,0</v>
      </c>
      <c r="L20" s="17" t="str">
        <f>"89,1710"</f>
        <v>89,1710</v>
      </c>
      <c r="M20" s="16" t="s">
        <v>315</v>
      </c>
    </row>
    <row r="21" spans="1:13">
      <c r="A21" s="19" t="s">
        <v>29</v>
      </c>
      <c r="B21" s="18" t="s">
        <v>1135</v>
      </c>
      <c r="C21" s="18" t="s">
        <v>1136</v>
      </c>
      <c r="D21" s="18" t="s">
        <v>1124</v>
      </c>
      <c r="E21" s="18" t="s">
        <v>1518</v>
      </c>
      <c r="F21" s="18" t="s">
        <v>1415</v>
      </c>
      <c r="G21" s="24" t="s">
        <v>35</v>
      </c>
      <c r="H21" s="24" t="s">
        <v>36</v>
      </c>
      <c r="I21" s="25" t="s">
        <v>37</v>
      </c>
      <c r="J21" s="19"/>
      <c r="K21" s="19" t="str">
        <f>"105,0"</f>
        <v>105,0</v>
      </c>
      <c r="L21" s="19" t="str">
        <f>"109,3942"</f>
        <v>109,3942</v>
      </c>
      <c r="M21" s="18" t="s">
        <v>938</v>
      </c>
    </row>
    <row r="22" spans="1:13">
      <c r="B22" s="5" t="s">
        <v>30</v>
      </c>
    </row>
    <row r="23" spans="1:13" ht="16">
      <c r="A23" s="33" t="s">
        <v>67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3">
      <c r="A24" s="17" t="s">
        <v>29</v>
      </c>
      <c r="B24" s="16" t="s">
        <v>1137</v>
      </c>
      <c r="C24" s="16" t="s">
        <v>1138</v>
      </c>
      <c r="D24" s="16" t="s">
        <v>1139</v>
      </c>
      <c r="E24" s="16" t="s">
        <v>1509</v>
      </c>
      <c r="F24" s="16" t="s">
        <v>1408</v>
      </c>
      <c r="G24" s="22" t="s">
        <v>51</v>
      </c>
      <c r="H24" s="22" t="s">
        <v>204</v>
      </c>
      <c r="I24" s="23" t="s">
        <v>35</v>
      </c>
      <c r="J24" s="17"/>
      <c r="K24" s="17" t="str">
        <f>"90,0"</f>
        <v>90,0</v>
      </c>
      <c r="L24" s="17" t="str">
        <f>"64,9890"</f>
        <v>64,9890</v>
      </c>
      <c r="M24" s="16" t="s">
        <v>315</v>
      </c>
    </row>
    <row r="25" spans="1:13">
      <c r="A25" s="19" t="s">
        <v>189</v>
      </c>
      <c r="B25" s="18" t="s">
        <v>1140</v>
      </c>
      <c r="C25" s="18" t="s">
        <v>1141</v>
      </c>
      <c r="D25" s="18" t="s">
        <v>1142</v>
      </c>
      <c r="E25" s="18" t="s">
        <v>1509</v>
      </c>
      <c r="F25" s="18" t="s">
        <v>1484</v>
      </c>
      <c r="G25" s="24" t="s">
        <v>218</v>
      </c>
      <c r="H25" s="24" t="s">
        <v>211</v>
      </c>
      <c r="I25" s="25" t="s">
        <v>212</v>
      </c>
      <c r="J25" s="19"/>
      <c r="K25" s="19" t="str">
        <f>"55,0"</f>
        <v>55,0</v>
      </c>
      <c r="L25" s="19" t="str">
        <f>"40,4167"</f>
        <v>40,4167</v>
      </c>
      <c r="M25" s="18" t="s">
        <v>938</v>
      </c>
    </row>
    <row r="26" spans="1:13">
      <c r="B26" s="5" t="s">
        <v>30</v>
      </c>
    </row>
    <row r="27" spans="1:13" ht="16">
      <c r="A27" s="33" t="s">
        <v>98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3">
      <c r="A28" s="17" t="s">
        <v>29</v>
      </c>
      <c r="B28" s="16" t="s">
        <v>1143</v>
      </c>
      <c r="C28" s="16" t="s">
        <v>1144</v>
      </c>
      <c r="D28" s="16" t="s">
        <v>1145</v>
      </c>
      <c r="E28" s="16" t="s">
        <v>1509</v>
      </c>
      <c r="F28" s="16" t="s">
        <v>1403</v>
      </c>
      <c r="G28" s="22" t="s">
        <v>204</v>
      </c>
      <c r="H28" s="23" t="s">
        <v>35</v>
      </c>
      <c r="I28" s="23" t="s">
        <v>35</v>
      </c>
      <c r="J28" s="17"/>
      <c r="K28" s="17" t="str">
        <f>"90,0"</f>
        <v>90,0</v>
      </c>
      <c r="L28" s="17" t="str">
        <f>"56,4165"</f>
        <v>56,4165</v>
      </c>
      <c r="M28" s="16" t="s">
        <v>315</v>
      </c>
    </row>
    <row r="29" spans="1:13">
      <c r="A29" s="21" t="s">
        <v>29</v>
      </c>
      <c r="B29" s="20" t="s">
        <v>1146</v>
      </c>
      <c r="C29" s="20" t="s">
        <v>1147</v>
      </c>
      <c r="D29" s="20" t="s">
        <v>1148</v>
      </c>
      <c r="E29" s="20" t="s">
        <v>1511</v>
      </c>
      <c r="F29" s="20" t="s">
        <v>1484</v>
      </c>
      <c r="G29" s="26" t="s">
        <v>49</v>
      </c>
      <c r="H29" s="26" t="s">
        <v>35</v>
      </c>
      <c r="I29" s="26" t="s">
        <v>198</v>
      </c>
      <c r="J29" s="21"/>
      <c r="K29" s="21" t="str">
        <f>"102,5"</f>
        <v>102,5</v>
      </c>
      <c r="L29" s="21" t="str">
        <f>"71,2885"</f>
        <v>71,2885</v>
      </c>
      <c r="M29" s="20" t="s">
        <v>1121</v>
      </c>
    </row>
    <row r="30" spans="1:13">
      <c r="A30" s="21" t="s">
        <v>189</v>
      </c>
      <c r="B30" s="20" t="s">
        <v>1143</v>
      </c>
      <c r="C30" s="20" t="s">
        <v>1149</v>
      </c>
      <c r="D30" s="20" t="s">
        <v>1145</v>
      </c>
      <c r="E30" s="20" t="s">
        <v>1511</v>
      </c>
      <c r="F30" s="20" t="s">
        <v>1403</v>
      </c>
      <c r="G30" s="26" t="s">
        <v>204</v>
      </c>
      <c r="H30" s="27" t="s">
        <v>35</v>
      </c>
      <c r="I30" s="27" t="s">
        <v>35</v>
      </c>
      <c r="J30" s="21"/>
      <c r="K30" s="21" t="str">
        <f>"90,0"</f>
        <v>90,0</v>
      </c>
      <c r="L30" s="21" t="str">
        <f>"57,5448"</f>
        <v>57,5448</v>
      </c>
      <c r="M30" s="20" t="s">
        <v>315</v>
      </c>
    </row>
    <row r="31" spans="1:13">
      <c r="A31" s="19" t="s">
        <v>29</v>
      </c>
      <c r="B31" s="18" t="s">
        <v>1150</v>
      </c>
      <c r="C31" s="18" t="s">
        <v>1151</v>
      </c>
      <c r="D31" s="18" t="s">
        <v>1152</v>
      </c>
      <c r="E31" s="18" t="s">
        <v>1518</v>
      </c>
      <c r="F31" s="18" t="s">
        <v>1415</v>
      </c>
      <c r="G31" s="24" t="s">
        <v>37</v>
      </c>
      <c r="H31" s="24" t="s">
        <v>213</v>
      </c>
      <c r="I31" s="24" t="s">
        <v>240</v>
      </c>
      <c r="J31" s="19"/>
      <c r="K31" s="19" t="str">
        <f>"117,5"</f>
        <v>117,5</v>
      </c>
      <c r="L31" s="19" t="str">
        <f>"104,7782"</f>
        <v>104,7782</v>
      </c>
      <c r="M31" s="18" t="s">
        <v>1121</v>
      </c>
    </row>
    <row r="32" spans="1:13">
      <c r="B32" s="5" t="s">
        <v>30</v>
      </c>
    </row>
    <row r="33" spans="1:13" ht="16">
      <c r="A33" s="33" t="s">
        <v>122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3">
      <c r="A34" s="8" t="s">
        <v>29</v>
      </c>
      <c r="B34" s="7" t="s">
        <v>1153</v>
      </c>
      <c r="C34" s="7" t="s">
        <v>1154</v>
      </c>
      <c r="D34" s="7" t="s">
        <v>1155</v>
      </c>
      <c r="E34" s="7" t="s">
        <v>1518</v>
      </c>
      <c r="F34" s="7" t="s">
        <v>1486</v>
      </c>
      <c r="G34" s="14" t="s">
        <v>36</v>
      </c>
      <c r="H34" s="14" t="s">
        <v>37</v>
      </c>
      <c r="I34" s="15" t="s">
        <v>224</v>
      </c>
      <c r="J34" s="8"/>
      <c r="K34" s="8" t="str">
        <f>"110,0"</f>
        <v>110,0</v>
      </c>
      <c r="L34" s="8" t="str">
        <f>"101,8295"</f>
        <v>101,8295</v>
      </c>
      <c r="M34" s="7" t="s">
        <v>938</v>
      </c>
    </row>
    <row r="35" spans="1:13">
      <c r="B35" s="5" t="s">
        <v>30</v>
      </c>
    </row>
    <row r="36" spans="1:13" ht="16">
      <c r="A36" s="33" t="s">
        <v>10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3">
      <c r="A37" s="17" t="s">
        <v>29</v>
      </c>
      <c r="B37" s="16" t="s">
        <v>1156</v>
      </c>
      <c r="C37" s="16" t="s">
        <v>1157</v>
      </c>
      <c r="D37" s="16" t="s">
        <v>1158</v>
      </c>
      <c r="E37" s="16" t="s">
        <v>1509</v>
      </c>
      <c r="F37" s="16" t="s">
        <v>1404</v>
      </c>
      <c r="G37" s="22" t="s">
        <v>58</v>
      </c>
      <c r="H37" s="23" t="s">
        <v>214</v>
      </c>
      <c r="I37" s="23" t="s">
        <v>274</v>
      </c>
      <c r="J37" s="17"/>
      <c r="K37" s="17" t="str">
        <f>"120,0"</f>
        <v>120,0</v>
      </c>
      <c r="L37" s="17" t="str">
        <f>"67,9320"</f>
        <v>67,9320</v>
      </c>
      <c r="M37" s="16" t="s">
        <v>496</v>
      </c>
    </row>
    <row r="38" spans="1:13">
      <c r="A38" s="19" t="s">
        <v>29</v>
      </c>
      <c r="B38" s="18" t="s">
        <v>1159</v>
      </c>
      <c r="C38" s="18" t="s">
        <v>1160</v>
      </c>
      <c r="D38" s="18" t="s">
        <v>1161</v>
      </c>
      <c r="E38" s="18" t="s">
        <v>1510</v>
      </c>
      <c r="F38" s="18" t="s">
        <v>1484</v>
      </c>
      <c r="G38" s="24" t="s">
        <v>42</v>
      </c>
      <c r="H38" s="24" t="s">
        <v>118</v>
      </c>
      <c r="I38" s="25" t="s">
        <v>43</v>
      </c>
      <c r="J38" s="19"/>
      <c r="K38" s="19" t="str">
        <f>"145,0"</f>
        <v>145,0</v>
      </c>
      <c r="L38" s="19" t="str">
        <f>"98,0779"</f>
        <v>98,0779</v>
      </c>
      <c r="M38" s="18" t="s">
        <v>315</v>
      </c>
    </row>
    <row r="39" spans="1:13">
      <c r="B39" s="5" t="s">
        <v>30</v>
      </c>
    </row>
    <row r="40" spans="1:13" ht="16">
      <c r="A40" s="33" t="s">
        <v>164</v>
      </c>
      <c r="B40" s="33"/>
      <c r="C40" s="33"/>
      <c r="D40" s="33"/>
      <c r="E40" s="33"/>
      <c r="F40" s="33"/>
      <c r="G40" s="33"/>
      <c r="H40" s="33"/>
      <c r="I40" s="33"/>
      <c r="J40" s="33"/>
    </row>
    <row r="41" spans="1:13">
      <c r="A41" s="8" t="s">
        <v>29</v>
      </c>
      <c r="B41" s="7" t="s">
        <v>1162</v>
      </c>
      <c r="C41" s="7" t="s">
        <v>1163</v>
      </c>
      <c r="D41" s="7" t="s">
        <v>1164</v>
      </c>
      <c r="E41" s="7" t="s">
        <v>1511</v>
      </c>
      <c r="F41" s="7" t="s">
        <v>1403</v>
      </c>
      <c r="G41" s="14" t="s">
        <v>35</v>
      </c>
      <c r="H41" s="14" t="s">
        <v>58</v>
      </c>
      <c r="I41" s="14" t="s">
        <v>42</v>
      </c>
      <c r="J41" s="8"/>
      <c r="K41" s="8" t="str">
        <f>"140,0"</f>
        <v>140,0</v>
      </c>
      <c r="L41" s="8" t="str">
        <f>"74,6018"</f>
        <v>74,6018</v>
      </c>
      <c r="M41" s="7" t="s">
        <v>315</v>
      </c>
    </row>
    <row r="42" spans="1:13">
      <c r="B42" s="5" t="s">
        <v>30</v>
      </c>
    </row>
    <row r="43" spans="1:13" ht="16">
      <c r="A43" s="33" t="s">
        <v>571</v>
      </c>
      <c r="B43" s="33"/>
      <c r="C43" s="33"/>
      <c r="D43" s="33"/>
      <c r="E43" s="33"/>
      <c r="F43" s="33"/>
      <c r="G43" s="33"/>
      <c r="H43" s="33"/>
      <c r="I43" s="33"/>
      <c r="J43" s="33"/>
    </row>
    <row r="44" spans="1:13">
      <c r="A44" s="8" t="s">
        <v>29</v>
      </c>
      <c r="B44" s="7" t="s">
        <v>572</v>
      </c>
      <c r="C44" s="7" t="s">
        <v>1165</v>
      </c>
      <c r="D44" s="7" t="s">
        <v>574</v>
      </c>
      <c r="E44" s="7" t="s">
        <v>1511</v>
      </c>
      <c r="F44" s="7" t="s">
        <v>1477</v>
      </c>
      <c r="G44" s="14" t="s">
        <v>204</v>
      </c>
      <c r="H44" s="15" t="s">
        <v>36</v>
      </c>
      <c r="I44" s="15" t="s">
        <v>36</v>
      </c>
      <c r="J44" s="8"/>
      <c r="K44" s="8" t="str">
        <f>"90,0"</f>
        <v>90,0</v>
      </c>
      <c r="L44" s="8" t="str">
        <f>"48,6011"</f>
        <v>48,6011</v>
      </c>
      <c r="M44" s="7" t="s">
        <v>315</v>
      </c>
    </row>
    <row r="45" spans="1:13">
      <c r="B45" s="5" t="s">
        <v>30</v>
      </c>
    </row>
    <row r="46" spans="1:13">
      <c r="B46" s="5" t="s">
        <v>30</v>
      </c>
    </row>
    <row r="47" spans="1:13">
      <c r="B47" s="5" t="s">
        <v>30</v>
      </c>
    </row>
    <row r="48" spans="1:13" ht="18">
      <c r="B48" s="9" t="s">
        <v>20</v>
      </c>
      <c r="C48" s="9"/>
      <c r="F48" s="3"/>
    </row>
    <row r="49" spans="2:6" ht="16">
      <c r="B49" s="10" t="s">
        <v>172</v>
      </c>
      <c r="C49" s="10"/>
      <c r="F49" s="3"/>
    </row>
    <row r="50" spans="2:6" ht="14">
      <c r="B50" s="11"/>
      <c r="C50" s="12" t="s">
        <v>22</v>
      </c>
      <c r="F50" s="3"/>
    </row>
    <row r="51" spans="2:6" ht="14">
      <c r="B51" s="13" t="s">
        <v>23</v>
      </c>
      <c r="C51" s="13" t="s">
        <v>24</v>
      </c>
      <c r="D51" s="13" t="s">
        <v>1347</v>
      </c>
      <c r="E51" s="13" t="s">
        <v>575</v>
      </c>
      <c r="F51" s="13" t="s">
        <v>943</v>
      </c>
    </row>
    <row r="52" spans="2:6">
      <c r="B52" s="5" t="s">
        <v>1125</v>
      </c>
      <c r="C52" s="5" t="s">
        <v>1166</v>
      </c>
      <c r="D52" s="6" t="s">
        <v>182</v>
      </c>
      <c r="E52" s="6" t="s">
        <v>212</v>
      </c>
      <c r="F52" s="6" t="s">
        <v>1167</v>
      </c>
    </row>
    <row r="53" spans="2:6">
      <c r="B53" s="5" t="s">
        <v>1128</v>
      </c>
      <c r="C53" s="5" t="s">
        <v>1168</v>
      </c>
      <c r="D53" s="6" t="s">
        <v>187</v>
      </c>
      <c r="E53" s="6" t="s">
        <v>52</v>
      </c>
      <c r="F53" s="6" t="s">
        <v>1169</v>
      </c>
    </row>
    <row r="54" spans="2:6">
      <c r="B54" s="5" t="s">
        <v>1119</v>
      </c>
      <c r="C54" s="5" t="s">
        <v>1170</v>
      </c>
      <c r="D54" s="6" t="s">
        <v>417</v>
      </c>
      <c r="E54" s="6" t="s">
        <v>212</v>
      </c>
      <c r="F54" s="6" t="s">
        <v>1171</v>
      </c>
    </row>
    <row r="56" spans="2:6" ht="16">
      <c r="B56" s="10" t="s">
        <v>21</v>
      </c>
      <c r="C56" s="10"/>
    </row>
    <row r="57" spans="2:6" ht="14">
      <c r="B57" s="11"/>
      <c r="C57" s="12" t="s">
        <v>22</v>
      </c>
    </row>
    <row r="58" spans="2:6" ht="14">
      <c r="B58" s="13" t="s">
        <v>23</v>
      </c>
      <c r="C58" s="13" t="s">
        <v>24</v>
      </c>
      <c r="D58" s="13" t="s">
        <v>1347</v>
      </c>
      <c r="E58" s="13" t="s">
        <v>575</v>
      </c>
      <c r="F58" s="13" t="s">
        <v>943</v>
      </c>
    </row>
    <row r="59" spans="2:6">
      <c r="B59" s="5" t="s">
        <v>1135</v>
      </c>
      <c r="C59" s="5" t="s">
        <v>1168</v>
      </c>
      <c r="D59" s="6" t="s">
        <v>417</v>
      </c>
      <c r="E59" s="6" t="s">
        <v>36</v>
      </c>
      <c r="F59" s="6" t="s">
        <v>1172</v>
      </c>
    </row>
    <row r="60" spans="2:6">
      <c r="B60" s="5" t="s">
        <v>1150</v>
      </c>
      <c r="C60" s="5" t="s">
        <v>1168</v>
      </c>
      <c r="D60" s="6" t="s">
        <v>187</v>
      </c>
      <c r="E60" s="6" t="s">
        <v>240</v>
      </c>
      <c r="F60" s="6" t="s">
        <v>1173</v>
      </c>
    </row>
    <row r="61" spans="2:6">
      <c r="B61" s="5" t="s">
        <v>1153</v>
      </c>
      <c r="C61" s="5" t="s">
        <v>1168</v>
      </c>
      <c r="D61" s="6" t="s">
        <v>179</v>
      </c>
      <c r="E61" s="6" t="s">
        <v>37</v>
      </c>
      <c r="F61" s="6" t="s">
        <v>1174</v>
      </c>
    </row>
    <row r="62" spans="2:6">
      <c r="B62" s="5" t="s">
        <v>30</v>
      </c>
    </row>
  </sheetData>
  <mergeCells count="22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3:J33"/>
    <mergeCell ref="A36:J36"/>
    <mergeCell ref="A40:J40"/>
    <mergeCell ref="A43:J43"/>
    <mergeCell ref="B3:B4"/>
    <mergeCell ref="A9:J9"/>
    <mergeCell ref="A12:J12"/>
    <mergeCell ref="A16:J16"/>
    <mergeCell ref="A19:J19"/>
    <mergeCell ref="A23:J23"/>
    <mergeCell ref="A27:J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U1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2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83203125" style="5" customWidth="1"/>
    <col min="22" max="16384" width="9.1640625" style="3"/>
  </cols>
  <sheetData>
    <row r="1" spans="1:21" s="2" customFormat="1" ht="29" customHeight="1">
      <c r="A1" s="44" t="s">
        <v>1372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67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8" t="s">
        <v>29</v>
      </c>
      <c r="B6" s="7" t="s">
        <v>468</v>
      </c>
      <c r="C6" s="7" t="s">
        <v>1314</v>
      </c>
      <c r="D6" s="7" t="s">
        <v>323</v>
      </c>
      <c r="E6" s="7" t="s">
        <v>1512</v>
      </c>
      <c r="F6" s="7" t="s">
        <v>1403</v>
      </c>
      <c r="G6" s="14" t="s">
        <v>41</v>
      </c>
      <c r="H6" s="14" t="s">
        <v>42</v>
      </c>
      <c r="I6" s="14" t="s">
        <v>43</v>
      </c>
      <c r="J6" s="8"/>
      <c r="K6" s="14" t="s">
        <v>283</v>
      </c>
      <c r="L6" s="14" t="s">
        <v>245</v>
      </c>
      <c r="M6" s="14" t="s">
        <v>51</v>
      </c>
      <c r="N6" s="8"/>
      <c r="O6" s="14" t="s">
        <v>213</v>
      </c>
      <c r="P6" s="14" t="s">
        <v>214</v>
      </c>
      <c r="Q6" s="15" t="s">
        <v>282</v>
      </c>
      <c r="R6" s="8"/>
      <c r="S6" s="8" t="str">
        <f>"355,0"</f>
        <v>355,0</v>
      </c>
      <c r="T6" s="8" t="str">
        <f>"348,1130"</f>
        <v>348,1130</v>
      </c>
      <c r="U6" s="7" t="s">
        <v>1389</v>
      </c>
    </row>
    <row r="7" spans="1:21">
      <c r="B7" s="5" t="s">
        <v>30</v>
      </c>
    </row>
    <row r="8" spans="1:21" ht="16">
      <c r="A8" s="33" t="s">
        <v>79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7" t="s">
        <v>29</v>
      </c>
      <c r="B9" s="16" t="s">
        <v>469</v>
      </c>
      <c r="C9" s="16" t="s">
        <v>470</v>
      </c>
      <c r="D9" s="16" t="s">
        <v>471</v>
      </c>
      <c r="E9" s="16" t="s">
        <v>1508</v>
      </c>
      <c r="F9" s="16" t="s">
        <v>1407</v>
      </c>
      <c r="G9" s="23" t="s">
        <v>72</v>
      </c>
      <c r="H9" s="22" t="s">
        <v>72</v>
      </c>
      <c r="I9" s="22" t="s">
        <v>64</v>
      </c>
      <c r="J9" s="17"/>
      <c r="K9" s="22" t="s">
        <v>220</v>
      </c>
      <c r="L9" s="23" t="s">
        <v>49</v>
      </c>
      <c r="M9" s="23" t="s">
        <v>49</v>
      </c>
      <c r="N9" s="17"/>
      <c r="O9" s="22" t="s">
        <v>64</v>
      </c>
      <c r="P9" s="22" t="s">
        <v>90</v>
      </c>
      <c r="Q9" s="22" t="s">
        <v>66</v>
      </c>
      <c r="R9" s="17"/>
      <c r="S9" s="17" t="str">
        <f>"467,5"</f>
        <v>467,5</v>
      </c>
      <c r="T9" s="17" t="str">
        <f>"318,9285"</f>
        <v>318,9285</v>
      </c>
      <c r="U9" s="16" t="s">
        <v>315</v>
      </c>
    </row>
    <row r="10" spans="1:21">
      <c r="A10" s="19" t="s">
        <v>29</v>
      </c>
      <c r="B10" s="18" t="s">
        <v>472</v>
      </c>
      <c r="C10" s="18" t="s">
        <v>473</v>
      </c>
      <c r="D10" s="18" t="s">
        <v>344</v>
      </c>
      <c r="E10" s="18" t="s">
        <v>1509</v>
      </c>
      <c r="F10" s="18" t="s">
        <v>1430</v>
      </c>
      <c r="G10" s="24" t="s">
        <v>83</v>
      </c>
      <c r="H10" s="24" t="s">
        <v>319</v>
      </c>
      <c r="I10" s="24" t="s">
        <v>474</v>
      </c>
      <c r="J10" s="19"/>
      <c r="K10" s="24" t="s">
        <v>43</v>
      </c>
      <c r="L10" s="25" t="s">
        <v>158</v>
      </c>
      <c r="M10" s="25" t="s">
        <v>341</v>
      </c>
      <c r="N10" s="19"/>
      <c r="O10" s="25" t="s">
        <v>386</v>
      </c>
      <c r="P10" s="24" t="s">
        <v>78</v>
      </c>
      <c r="Q10" s="24" t="s">
        <v>83</v>
      </c>
      <c r="R10" s="19"/>
      <c r="S10" s="19" t="str">
        <f>"612,5"</f>
        <v>612,5</v>
      </c>
      <c r="T10" s="19" t="str">
        <f>"414,9075"</f>
        <v>414,9075</v>
      </c>
      <c r="U10" s="18" t="s">
        <v>315</v>
      </c>
    </row>
    <row r="11" spans="1:21">
      <c r="B11" s="5" t="s">
        <v>30</v>
      </c>
    </row>
    <row r="12" spans="1:21" ht="16">
      <c r="A12" s="33" t="s">
        <v>122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8" t="s">
        <v>29</v>
      </c>
      <c r="B13" s="7" t="s">
        <v>475</v>
      </c>
      <c r="C13" s="7" t="s">
        <v>1315</v>
      </c>
      <c r="D13" s="7" t="s">
        <v>476</v>
      </c>
      <c r="E13" s="7" t="s">
        <v>1512</v>
      </c>
      <c r="F13" s="7" t="s">
        <v>1431</v>
      </c>
      <c r="G13" s="14" t="s">
        <v>64</v>
      </c>
      <c r="H13" s="14" t="s">
        <v>381</v>
      </c>
      <c r="I13" s="15" t="s">
        <v>385</v>
      </c>
      <c r="J13" s="8"/>
      <c r="K13" s="14" t="s">
        <v>213</v>
      </c>
      <c r="L13" s="15" t="s">
        <v>58</v>
      </c>
      <c r="M13" s="14" t="s">
        <v>58</v>
      </c>
      <c r="N13" s="8"/>
      <c r="O13" s="14" t="s">
        <v>78</v>
      </c>
      <c r="P13" s="14" t="s">
        <v>16</v>
      </c>
      <c r="Q13" s="15" t="s">
        <v>17</v>
      </c>
      <c r="R13" s="8"/>
      <c r="S13" s="8" t="str">
        <f>"537,5"</f>
        <v>537,5</v>
      </c>
      <c r="T13" s="8" t="str">
        <f>"333,8413"</f>
        <v>333,8413</v>
      </c>
      <c r="U13" s="7" t="s">
        <v>477</v>
      </c>
    </row>
    <row r="14" spans="1:21">
      <c r="B14" s="5" t="s">
        <v>30</v>
      </c>
    </row>
    <row r="15" spans="1:21" ht="16">
      <c r="A15" s="33" t="s">
        <v>148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8" t="s">
        <v>29</v>
      </c>
      <c r="B16" s="7" t="s">
        <v>1390</v>
      </c>
      <c r="C16" s="7" t="s">
        <v>1316</v>
      </c>
      <c r="D16" s="7" t="s">
        <v>478</v>
      </c>
      <c r="E16" s="7" t="s">
        <v>1512</v>
      </c>
      <c r="F16" s="7" t="s">
        <v>1391</v>
      </c>
      <c r="G16" s="14" t="s">
        <v>18</v>
      </c>
      <c r="H16" s="14" t="s">
        <v>86</v>
      </c>
      <c r="I16" s="14" t="s">
        <v>15</v>
      </c>
      <c r="J16" s="8"/>
      <c r="K16" s="14" t="s">
        <v>63</v>
      </c>
      <c r="L16" s="14" t="s">
        <v>72</v>
      </c>
      <c r="M16" s="14" t="s">
        <v>85</v>
      </c>
      <c r="N16" s="8"/>
      <c r="O16" s="14" t="s">
        <v>14</v>
      </c>
      <c r="P16" s="14" t="s">
        <v>337</v>
      </c>
      <c r="Q16" s="14" t="s">
        <v>159</v>
      </c>
      <c r="R16" s="8"/>
      <c r="S16" s="8" t="str">
        <f>"735,0"</f>
        <v>735,0</v>
      </c>
      <c r="T16" s="8" t="str">
        <f>"420,1995"</f>
        <v>420,1995</v>
      </c>
      <c r="U16" s="7" t="s">
        <v>1389</v>
      </c>
    </row>
    <row r="17" spans="2:2">
      <c r="B17" s="5" t="s">
        <v>30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A15:R15"/>
    <mergeCell ref="B3:B4"/>
    <mergeCell ref="S3:S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M84"/>
  <sheetViews>
    <sheetView topLeftCell="A40" workbookViewId="0">
      <selection activeCell="E68" sqref="E68"/>
    </sheetView>
  </sheetViews>
  <sheetFormatPr baseColWidth="10" defaultColWidth="9.1640625" defaultRowHeight="13"/>
  <cols>
    <col min="1" max="1" width="7.5" style="5" bestFit="1" customWidth="1"/>
    <col min="2" max="2" width="23.8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44" t="s">
        <v>1365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9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206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29</v>
      </c>
      <c r="B6" s="16" t="s">
        <v>824</v>
      </c>
      <c r="C6" s="16" t="s">
        <v>825</v>
      </c>
      <c r="D6" s="16" t="s">
        <v>826</v>
      </c>
      <c r="E6" s="16" t="s">
        <v>1509</v>
      </c>
      <c r="F6" s="16" t="s">
        <v>1403</v>
      </c>
      <c r="G6" s="23" t="s">
        <v>58</v>
      </c>
      <c r="H6" s="22" t="s">
        <v>214</v>
      </c>
      <c r="I6" s="23" t="s">
        <v>41</v>
      </c>
      <c r="J6" s="17"/>
      <c r="K6" s="17" t="str">
        <f>"125,0"</f>
        <v>125,0</v>
      </c>
      <c r="L6" s="17" t="str">
        <f>"166,5750"</f>
        <v>166,5750</v>
      </c>
      <c r="M6" s="16" t="s">
        <v>827</v>
      </c>
    </row>
    <row r="7" spans="1:13">
      <c r="A7" s="19" t="s">
        <v>29</v>
      </c>
      <c r="B7" s="18" t="s">
        <v>221</v>
      </c>
      <c r="C7" s="18" t="s">
        <v>1254</v>
      </c>
      <c r="D7" s="18" t="s">
        <v>222</v>
      </c>
      <c r="E7" s="18" t="s">
        <v>1510</v>
      </c>
      <c r="F7" s="18" t="s">
        <v>1403</v>
      </c>
      <c r="G7" s="25" t="s">
        <v>35</v>
      </c>
      <c r="H7" s="24" t="s">
        <v>36</v>
      </c>
      <c r="I7" s="24" t="s">
        <v>224</v>
      </c>
      <c r="J7" s="19"/>
      <c r="K7" s="19" t="str">
        <f>"112,5"</f>
        <v>112,5</v>
      </c>
      <c r="L7" s="19" t="str">
        <f>"158,1851"</f>
        <v>158,1851</v>
      </c>
      <c r="M7" s="18" t="s">
        <v>225</v>
      </c>
    </row>
    <row r="8" spans="1:13">
      <c r="B8" s="5" t="s">
        <v>30</v>
      </c>
    </row>
    <row r="9" spans="1:13" ht="16">
      <c r="A9" s="33" t="s">
        <v>226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17" t="s">
        <v>29</v>
      </c>
      <c r="B10" s="16" t="s">
        <v>227</v>
      </c>
      <c r="C10" s="16" t="s">
        <v>228</v>
      </c>
      <c r="D10" s="16" t="s">
        <v>229</v>
      </c>
      <c r="E10" s="16" t="s">
        <v>1509</v>
      </c>
      <c r="F10" s="16" t="s">
        <v>1404</v>
      </c>
      <c r="G10" s="22" t="s">
        <v>119</v>
      </c>
      <c r="H10" s="23" t="s">
        <v>63</v>
      </c>
      <c r="I10" s="23" t="s">
        <v>63</v>
      </c>
      <c r="J10" s="17"/>
      <c r="K10" s="17" t="str">
        <f>"155,0"</f>
        <v>155,0</v>
      </c>
      <c r="L10" s="17" t="str">
        <f>"197,0205"</f>
        <v>197,0205</v>
      </c>
      <c r="M10" s="16" t="s">
        <v>232</v>
      </c>
    </row>
    <row r="11" spans="1:13">
      <c r="A11" s="21" t="s">
        <v>189</v>
      </c>
      <c r="B11" s="20" t="s">
        <v>828</v>
      </c>
      <c r="C11" s="20" t="s">
        <v>829</v>
      </c>
      <c r="D11" s="20" t="s">
        <v>830</v>
      </c>
      <c r="E11" s="20" t="s">
        <v>1509</v>
      </c>
      <c r="F11" s="20" t="s">
        <v>1439</v>
      </c>
      <c r="G11" s="26" t="s">
        <v>240</v>
      </c>
      <c r="H11" s="26" t="s">
        <v>274</v>
      </c>
      <c r="I11" s="26" t="s">
        <v>109</v>
      </c>
      <c r="J11" s="21"/>
      <c r="K11" s="21" t="str">
        <f>"135,0"</f>
        <v>135,0</v>
      </c>
      <c r="L11" s="21" t="str">
        <f>"169,0470"</f>
        <v>169,0470</v>
      </c>
      <c r="M11" s="20" t="s">
        <v>1356</v>
      </c>
    </row>
    <row r="12" spans="1:13">
      <c r="A12" s="19" t="s">
        <v>190</v>
      </c>
      <c r="B12" s="18" t="s">
        <v>831</v>
      </c>
      <c r="C12" s="18" t="s">
        <v>832</v>
      </c>
      <c r="D12" s="18" t="s">
        <v>833</v>
      </c>
      <c r="E12" s="18" t="s">
        <v>1509</v>
      </c>
      <c r="F12" s="18" t="s">
        <v>1403</v>
      </c>
      <c r="G12" s="24" t="s">
        <v>204</v>
      </c>
      <c r="H12" s="24" t="s">
        <v>252</v>
      </c>
      <c r="I12" s="24" t="s">
        <v>49</v>
      </c>
      <c r="J12" s="19"/>
      <c r="K12" s="19" t="str">
        <f>"95,0"</f>
        <v>95,0</v>
      </c>
      <c r="L12" s="19" t="str">
        <f>"122,2270"</f>
        <v>122,2270</v>
      </c>
      <c r="M12" s="18" t="s">
        <v>834</v>
      </c>
    </row>
    <row r="13" spans="1:13">
      <c r="B13" s="5" t="s">
        <v>30</v>
      </c>
    </row>
    <row r="14" spans="1:13" ht="16">
      <c r="A14" s="33" t="s">
        <v>31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17" t="s">
        <v>29</v>
      </c>
      <c r="B15" s="16" t="s">
        <v>835</v>
      </c>
      <c r="C15" s="16" t="s">
        <v>1255</v>
      </c>
      <c r="D15" s="16" t="s">
        <v>836</v>
      </c>
      <c r="E15" s="16" t="s">
        <v>1512</v>
      </c>
      <c r="F15" s="16" t="s">
        <v>1403</v>
      </c>
      <c r="G15" s="22" t="s">
        <v>214</v>
      </c>
      <c r="H15" s="22" t="s">
        <v>109</v>
      </c>
      <c r="I15" s="23" t="s">
        <v>118</v>
      </c>
      <c r="J15" s="17"/>
      <c r="K15" s="17" t="str">
        <f>"135,0"</f>
        <v>135,0</v>
      </c>
      <c r="L15" s="17" t="str">
        <f>"167,3055"</f>
        <v>167,3055</v>
      </c>
      <c r="M15" s="16" t="s">
        <v>837</v>
      </c>
    </row>
    <row r="16" spans="1:13">
      <c r="A16" s="21" t="s">
        <v>29</v>
      </c>
      <c r="B16" s="20" t="s">
        <v>838</v>
      </c>
      <c r="C16" s="20" t="s">
        <v>839</v>
      </c>
      <c r="D16" s="20" t="s">
        <v>840</v>
      </c>
      <c r="E16" s="20" t="s">
        <v>1509</v>
      </c>
      <c r="F16" s="20" t="s">
        <v>1432</v>
      </c>
      <c r="G16" s="26" t="s">
        <v>63</v>
      </c>
      <c r="H16" s="27" t="s">
        <v>357</v>
      </c>
      <c r="I16" s="26" t="s">
        <v>357</v>
      </c>
      <c r="J16" s="26" t="s">
        <v>841</v>
      </c>
      <c r="K16" s="21" t="str">
        <f>"167,5"</f>
        <v>167,5</v>
      </c>
      <c r="L16" s="21" t="str">
        <f>"197,0805"</f>
        <v>197,0805</v>
      </c>
      <c r="M16" s="20" t="s">
        <v>293</v>
      </c>
    </row>
    <row r="17" spans="1:13">
      <c r="A17" s="21" t="s">
        <v>189</v>
      </c>
      <c r="B17" s="20" t="s">
        <v>842</v>
      </c>
      <c r="C17" s="20" t="s">
        <v>843</v>
      </c>
      <c r="D17" s="20" t="s">
        <v>267</v>
      </c>
      <c r="E17" s="20" t="s">
        <v>1509</v>
      </c>
      <c r="F17" s="20" t="s">
        <v>1403</v>
      </c>
      <c r="G17" s="26" t="s">
        <v>119</v>
      </c>
      <c r="H17" s="26" t="s">
        <v>84</v>
      </c>
      <c r="I17" s="27" t="s">
        <v>841</v>
      </c>
      <c r="J17" s="21"/>
      <c r="K17" s="21" t="str">
        <f>"165,0"</f>
        <v>165,0</v>
      </c>
      <c r="L17" s="21" t="str">
        <f>"196,6140"</f>
        <v>196,6140</v>
      </c>
      <c r="M17" s="20" t="s">
        <v>844</v>
      </c>
    </row>
    <row r="18" spans="1:13">
      <c r="A18" s="21" t="s">
        <v>190</v>
      </c>
      <c r="B18" s="20" t="s">
        <v>835</v>
      </c>
      <c r="C18" s="20" t="s">
        <v>845</v>
      </c>
      <c r="D18" s="20" t="s">
        <v>836</v>
      </c>
      <c r="E18" s="20" t="s">
        <v>1509</v>
      </c>
      <c r="F18" s="20" t="s">
        <v>1403</v>
      </c>
      <c r="G18" s="26" t="s">
        <v>214</v>
      </c>
      <c r="H18" s="26" t="s">
        <v>109</v>
      </c>
      <c r="I18" s="27" t="s">
        <v>118</v>
      </c>
      <c r="J18" s="21"/>
      <c r="K18" s="21" t="str">
        <f>"135,0"</f>
        <v>135,0</v>
      </c>
      <c r="L18" s="21" t="str">
        <f>"167,3055"</f>
        <v>167,3055</v>
      </c>
      <c r="M18" s="20" t="s">
        <v>837</v>
      </c>
    </row>
    <row r="19" spans="1:13">
      <c r="A19" s="21" t="s">
        <v>437</v>
      </c>
      <c r="B19" s="20" t="s">
        <v>846</v>
      </c>
      <c r="C19" s="20" t="s">
        <v>847</v>
      </c>
      <c r="D19" s="20" t="s">
        <v>848</v>
      </c>
      <c r="E19" s="20" t="s">
        <v>1509</v>
      </c>
      <c r="F19" s="20" t="s">
        <v>1415</v>
      </c>
      <c r="G19" s="26" t="s">
        <v>214</v>
      </c>
      <c r="H19" s="27" t="s">
        <v>41</v>
      </c>
      <c r="I19" s="26" t="s">
        <v>41</v>
      </c>
      <c r="J19" s="21"/>
      <c r="K19" s="21" t="str">
        <f>"130,0"</f>
        <v>130,0</v>
      </c>
      <c r="L19" s="21" t="str">
        <f>"156,4680"</f>
        <v>156,4680</v>
      </c>
      <c r="M19" s="20" t="s">
        <v>849</v>
      </c>
    </row>
    <row r="20" spans="1:13">
      <c r="A20" s="21" t="s">
        <v>438</v>
      </c>
      <c r="B20" s="20" t="s">
        <v>850</v>
      </c>
      <c r="C20" s="20" t="s">
        <v>851</v>
      </c>
      <c r="D20" s="20" t="s">
        <v>262</v>
      </c>
      <c r="E20" s="20" t="s">
        <v>1509</v>
      </c>
      <c r="F20" s="20" t="s">
        <v>1409</v>
      </c>
      <c r="G20" s="26" t="s">
        <v>213</v>
      </c>
      <c r="H20" s="26" t="s">
        <v>214</v>
      </c>
      <c r="I20" s="27" t="s">
        <v>109</v>
      </c>
      <c r="J20" s="21"/>
      <c r="K20" s="21" t="str">
        <f>"125,0"</f>
        <v>125,0</v>
      </c>
      <c r="L20" s="21" t="str">
        <f>"149,1625"</f>
        <v>149,1625</v>
      </c>
      <c r="M20" s="20" t="s">
        <v>852</v>
      </c>
    </row>
    <row r="21" spans="1:13">
      <c r="A21" s="19" t="s">
        <v>769</v>
      </c>
      <c r="B21" s="18" t="s">
        <v>257</v>
      </c>
      <c r="C21" s="18" t="s">
        <v>258</v>
      </c>
      <c r="D21" s="18" t="s">
        <v>259</v>
      </c>
      <c r="E21" s="18" t="s">
        <v>1509</v>
      </c>
      <c r="F21" s="18" t="s">
        <v>1403</v>
      </c>
      <c r="G21" s="25" t="s">
        <v>37</v>
      </c>
      <c r="H21" s="24" t="s">
        <v>213</v>
      </c>
      <c r="I21" s="25" t="s">
        <v>214</v>
      </c>
      <c r="J21" s="19"/>
      <c r="K21" s="19" t="str">
        <f>"115,0"</f>
        <v>115,0</v>
      </c>
      <c r="L21" s="19" t="str">
        <f>"136,0680"</f>
        <v>136,0680</v>
      </c>
      <c r="M21" s="18" t="s">
        <v>1377</v>
      </c>
    </row>
    <row r="22" spans="1:13">
      <c r="B22" s="5" t="s">
        <v>30</v>
      </c>
    </row>
    <row r="23" spans="1:13" ht="16">
      <c r="A23" s="33" t="s">
        <v>45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3">
      <c r="A24" s="8" t="s">
        <v>29</v>
      </c>
      <c r="B24" s="7" t="s">
        <v>614</v>
      </c>
      <c r="C24" s="7" t="s">
        <v>1244</v>
      </c>
      <c r="D24" s="7" t="s">
        <v>615</v>
      </c>
      <c r="E24" s="7" t="s">
        <v>1510</v>
      </c>
      <c r="F24" s="7" t="s">
        <v>1447</v>
      </c>
      <c r="G24" s="14" t="s">
        <v>35</v>
      </c>
      <c r="H24" s="14" t="s">
        <v>75</v>
      </c>
      <c r="I24" s="14" t="s">
        <v>213</v>
      </c>
      <c r="J24" s="8"/>
      <c r="K24" s="8" t="str">
        <f>"115,0"</f>
        <v>115,0</v>
      </c>
      <c r="L24" s="8" t="str">
        <f>"138,5737"</f>
        <v>138,5737</v>
      </c>
      <c r="M24" s="7" t="s">
        <v>616</v>
      </c>
    </row>
    <row r="25" spans="1:13">
      <c r="B25" s="5" t="s">
        <v>30</v>
      </c>
    </row>
    <row r="26" spans="1:13" ht="16">
      <c r="A26" s="33" t="s">
        <v>275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3">
      <c r="A27" s="17" t="s">
        <v>29</v>
      </c>
      <c r="B27" s="16" t="s">
        <v>287</v>
      </c>
      <c r="C27" s="16" t="s">
        <v>288</v>
      </c>
      <c r="D27" s="16" t="s">
        <v>289</v>
      </c>
      <c r="E27" s="16" t="s">
        <v>1509</v>
      </c>
      <c r="F27" s="16" t="s">
        <v>1412</v>
      </c>
      <c r="G27" s="22" t="s">
        <v>36</v>
      </c>
      <c r="H27" s="22" t="s">
        <v>213</v>
      </c>
      <c r="I27" s="22" t="s">
        <v>230</v>
      </c>
      <c r="J27" s="17"/>
      <c r="K27" s="17" t="str">
        <f>"122,5"</f>
        <v>122,5</v>
      </c>
      <c r="L27" s="17" t="str">
        <f>"125,0235"</f>
        <v>125,0235</v>
      </c>
      <c r="M27" s="16" t="s">
        <v>1378</v>
      </c>
    </row>
    <row r="28" spans="1:13">
      <c r="A28" s="19" t="s">
        <v>29</v>
      </c>
      <c r="B28" s="18" t="s">
        <v>853</v>
      </c>
      <c r="C28" s="18" t="s">
        <v>1256</v>
      </c>
      <c r="D28" s="18" t="s">
        <v>854</v>
      </c>
      <c r="E28" s="18" t="s">
        <v>1510</v>
      </c>
      <c r="F28" s="18" t="s">
        <v>1403</v>
      </c>
      <c r="G28" s="24" t="s">
        <v>58</v>
      </c>
      <c r="H28" s="24" t="s">
        <v>41</v>
      </c>
      <c r="I28" s="24" t="s">
        <v>42</v>
      </c>
      <c r="J28" s="19"/>
      <c r="K28" s="19" t="str">
        <f>"140,0"</f>
        <v>140,0</v>
      </c>
      <c r="L28" s="19" t="str">
        <f>"164,9433"</f>
        <v>164,9433</v>
      </c>
      <c r="M28" s="18" t="s">
        <v>855</v>
      </c>
    </row>
    <row r="29" spans="1:13">
      <c r="B29" s="5" t="s">
        <v>30</v>
      </c>
    </row>
    <row r="30" spans="1:13" ht="16">
      <c r="A30" s="33" t="s">
        <v>67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3">
      <c r="A31" s="17" t="s">
        <v>29</v>
      </c>
      <c r="B31" s="16" t="s">
        <v>856</v>
      </c>
      <c r="C31" s="16" t="s">
        <v>857</v>
      </c>
      <c r="D31" s="16" t="s">
        <v>323</v>
      </c>
      <c r="E31" s="16" t="s">
        <v>1509</v>
      </c>
      <c r="F31" s="16" t="s">
        <v>1403</v>
      </c>
      <c r="G31" s="22" t="s">
        <v>198</v>
      </c>
      <c r="H31" s="22" t="s">
        <v>37</v>
      </c>
      <c r="I31" s="22" t="s">
        <v>213</v>
      </c>
      <c r="J31" s="17"/>
      <c r="K31" s="17" t="str">
        <f>"115,0"</f>
        <v>115,0</v>
      </c>
      <c r="L31" s="17" t="str">
        <f>"112,7690"</f>
        <v>112,7690</v>
      </c>
      <c r="M31" s="16" t="s">
        <v>858</v>
      </c>
    </row>
    <row r="32" spans="1:13">
      <c r="A32" s="19" t="s">
        <v>29</v>
      </c>
      <c r="B32" s="18" t="s">
        <v>856</v>
      </c>
      <c r="C32" s="18" t="s">
        <v>1257</v>
      </c>
      <c r="D32" s="18" t="s">
        <v>323</v>
      </c>
      <c r="E32" s="18" t="s">
        <v>1510</v>
      </c>
      <c r="F32" s="18" t="s">
        <v>1403</v>
      </c>
      <c r="G32" s="24" t="s">
        <v>198</v>
      </c>
      <c r="H32" s="24" t="s">
        <v>37</v>
      </c>
      <c r="I32" s="24" t="s">
        <v>213</v>
      </c>
      <c r="J32" s="19"/>
      <c r="K32" s="19" t="str">
        <f>"115,0"</f>
        <v>115,0</v>
      </c>
      <c r="L32" s="19" t="str">
        <f>"125,6247"</f>
        <v>125,6247</v>
      </c>
      <c r="M32" s="18" t="s">
        <v>858</v>
      </c>
    </row>
    <row r="33" spans="1:13">
      <c r="B33" s="5" t="s">
        <v>30</v>
      </c>
    </row>
    <row r="34" spans="1:13" ht="16">
      <c r="A34" s="33" t="s">
        <v>275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3">
      <c r="A35" s="8" t="s">
        <v>29</v>
      </c>
      <c r="B35" s="7" t="s">
        <v>859</v>
      </c>
      <c r="C35" s="7" t="s">
        <v>860</v>
      </c>
      <c r="D35" s="7" t="s">
        <v>643</v>
      </c>
      <c r="E35" s="7" t="s">
        <v>1509</v>
      </c>
      <c r="F35" s="7" t="s">
        <v>1439</v>
      </c>
      <c r="G35" s="14" t="s">
        <v>66</v>
      </c>
      <c r="H35" s="14" t="s">
        <v>108</v>
      </c>
      <c r="I35" s="15" t="s">
        <v>78</v>
      </c>
      <c r="J35" s="8"/>
      <c r="K35" s="8" t="str">
        <f>"210,0"</f>
        <v>210,0</v>
      </c>
      <c r="L35" s="8" t="str">
        <f>"165,9210"</f>
        <v>165,9210</v>
      </c>
      <c r="M35" s="7" t="s">
        <v>315</v>
      </c>
    </row>
    <row r="36" spans="1:13">
      <c r="B36" s="5" t="s">
        <v>30</v>
      </c>
    </row>
    <row r="37" spans="1:13" ht="16">
      <c r="A37" s="33" t="s">
        <v>67</v>
      </c>
      <c r="B37" s="33"/>
      <c r="C37" s="33"/>
      <c r="D37" s="33"/>
      <c r="E37" s="33"/>
      <c r="F37" s="33"/>
      <c r="G37" s="33"/>
      <c r="H37" s="33"/>
      <c r="I37" s="33"/>
      <c r="J37" s="33"/>
    </row>
    <row r="38" spans="1:13">
      <c r="A38" s="17" t="s">
        <v>29</v>
      </c>
      <c r="B38" s="16" t="s">
        <v>68</v>
      </c>
      <c r="C38" s="16" t="s">
        <v>69</v>
      </c>
      <c r="D38" s="16" t="s">
        <v>321</v>
      </c>
      <c r="E38" s="16" t="s">
        <v>1509</v>
      </c>
      <c r="F38" s="16" t="s">
        <v>71</v>
      </c>
      <c r="G38" s="22" t="s">
        <v>76</v>
      </c>
      <c r="H38" s="22" t="s">
        <v>77</v>
      </c>
      <c r="I38" s="23" t="s">
        <v>78</v>
      </c>
      <c r="J38" s="17"/>
      <c r="K38" s="17" t="str">
        <f>"215,0"</f>
        <v>215,0</v>
      </c>
      <c r="L38" s="17" t="str">
        <f>"155,5525"</f>
        <v>155,5525</v>
      </c>
      <c r="M38" s="16" t="s">
        <v>315</v>
      </c>
    </row>
    <row r="39" spans="1:13">
      <c r="A39" s="21" t="s">
        <v>191</v>
      </c>
      <c r="B39" s="20" t="s">
        <v>316</v>
      </c>
      <c r="C39" s="20" t="s">
        <v>317</v>
      </c>
      <c r="D39" s="20" t="s">
        <v>318</v>
      </c>
      <c r="E39" s="20" t="s">
        <v>1509</v>
      </c>
      <c r="F39" s="20" t="s">
        <v>1403</v>
      </c>
      <c r="G39" s="27" t="s">
        <v>13</v>
      </c>
      <c r="H39" s="21"/>
      <c r="I39" s="21"/>
      <c r="J39" s="21"/>
      <c r="K39" s="21" t="str">
        <f>"0.00"</f>
        <v>0.00</v>
      </c>
      <c r="L39" s="21" t="str">
        <f>"0,0000"</f>
        <v>0,0000</v>
      </c>
      <c r="M39" s="20" t="s">
        <v>320</v>
      </c>
    </row>
    <row r="40" spans="1:13">
      <c r="A40" s="21" t="s">
        <v>29</v>
      </c>
      <c r="B40" s="20" t="s">
        <v>665</v>
      </c>
      <c r="C40" s="20" t="s">
        <v>1258</v>
      </c>
      <c r="D40" s="20" t="s">
        <v>321</v>
      </c>
      <c r="E40" s="20" t="s">
        <v>1516</v>
      </c>
      <c r="F40" s="20" t="s">
        <v>1457</v>
      </c>
      <c r="G40" s="26" t="s">
        <v>58</v>
      </c>
      <c r="H40" s="26" t="s">
        <v>41</v>
      </c>
      <c r="I40" s="27" t="s">
        <v>42</v>
      </c>
      <c r="J40" s="21"/>
      <c r="K40" s="21" t="str">
        <f>"130,0"</f>
        <v>130,0</v>
      </c>
      <c r="L40" s="21" t="str">
        <f>"141,1766"</f>
        <v>141,1766</v>
      </c>
      <c r="M40" s="20" t="s">
        <v>315</v>
      </c>
    </row>
    <row r="41" spans="1:13">
      <c r="A41" s="19" t="s">
        <v>29</v>
      </c>
      <c r="B41" s="18" t="s">
        <v>325</v>
      </c>
      <c r="C41" s="18" t="s">
        <v>1259</v>
      </c>
      <c r="D41" s="18" t="s">
        <v>326</v>
      </c>
      <c r="E41" s="18" t="s">
        <v>1514</v>
      </c>
      <c r="F41" s="18" t="s">
        <v>1403</v>
      </c>
      <c r="G41" s="24" t="s">
        <v>97</v>
      </c>
      <c r="H41" s="24" t="s">
        <v>110</v>
      </c>
      <c r="I41" s="24" t="s">
        <v>111</v>
      </c>
      <c r="J41" s="19"/>
      <c r="K41" s="19" t="str">
        <f>"147,5"</f>
        <v>147,5</v>
      </c>
      <c r="L41" s="19" t="str">
        <f>"180,8156"</f>
        <v>180,8156</v>
      </c>
      <c r="M41" s="18" t="s">
        <v>315</v>
      </c>
    </row>
    <row r="42" spans="1:13">
      <c r="B42" s="5" t="s">
        <v>30</v>
      </c>
    </row>
    <row r="43" spans="1:13" ht="16">
      <c r="A43" s="33" t="s">
        <v>79</v>
      </c>
      <c r="B43" s="33"/>
      <c r="C43" s="33"/>
      <c r="D43" s="33"/>
      <c r="E43" s="33"/>
      <c r="F43" s="33"/>
      <c r="G43" s="33"/>
      <c r="H43" s="33"/>
      <c r="I43" s="33"/>
      <c r="J43" s="33"/>
    </row>
    <row r="44" spans="1:13">
      <c r="A44" s="17" t="s">
        <v>29</v>
      </c>
      <c r="B44" s="16" t="s">
        <v>327</v>
      </c>
      <c r="C44" s="16" t="s">
        <v>328</v>
      </c>
      <c r="D44" s="16" t="s">
        <v>329</v>
      </c>
      <c r="E44" s="16" t="s">
        <v>1508</v>
      </c>
      <c r="F44" s="16" t="s">
        <v>330</v>
      </c>
      <c r="G44" s="22" t="s">
        <v>84</v>
      </c>
      <c r="H44" s="22" t="s">
        <v>85</v>
      </c>
      <c r="I44" s="22" t="s">
        <v>65</v>
      </c>
      <c r="J44" s="17"/>
      <c r="K44" s="17" t="str">
        <f>"185,0"</f>
        <v>185,0</v>
      </c>
      <c r="L44" s="17" t="str">
        <f>"126,0035"</f>
        <v>126,0035</v>
      </c>
      <c r="M44" s="16" t="s">
        <v>1357</v>
      </c>
    </row>
    <row r="45" spans="1:13">
      <c r="A45" s="21" t="s">
        <v>29</v>
      </c>
      <c r="B45" s="20" t="s">
        <v>331</v>
      </c>
      <c r="C45" s="20" t="s">
        <v>1260</v>
      </c>
      <c r="D45" s="20" t="s">
        <v>332</v>
      </c>
      <c r="E45" s="20" t="s">
        <v>1512</v>
      </c>
      <c r="F45" s="20" t="s">
        <v>333</v>
      </c>
      <c r="G45" s="26" t="s">
        <v>76</v>
      </c>
      <c r="H45" s="26" t="s">
        <v>78</v>
      </c>
      <c r="I45" s="27" t="s">
        <v>83</v>
      </c>
      <c r="J45" s="21"/>
      <c r="K45" s="21" t="str">
        <f>"220,0"</f>
        <v>220,0</v>
      </c>
      <c r="L45" s="21" t="str">
        <f>"151,5360"</f>
        <v>151,5360</v>
      </c>
      <c r="M45" s="20" t="s">
        <v>1379</v>
      </c>
    </row>
    <row r="46" spans="1:13">
      <c r="A46" s="21" t="s">
        <v>29</v>
      </c>
      <c r="B46" s="20" t="s">
        <v>334</v>
      </c>
      <c r="C46" s="20" t="s">
        <v>335</v>
      </c>
      <c r="D46" s="20" t="s">
        <v>82</v>
      </c>
      <c r="E46" s="20" t="s">
        <v>1509</v>
      </c>
      <c r="F46" s="20" t="s">
        <v>336</v>
      </c>
      <c r="G46" s="26" t="s">
        <v>112</v>
      </c>
      <c r="H46" s="26" t="s">
        <v>120</v>
      </c>
      <c r="I46" s="26" t="s">
        <v>337</v>
      </c>
      <c r="J46" s="21"/>
      <c r="K46" s="21" t="str">
        <f>"275,0"</f>
        <v>275,0</v>
      </c>
      <c r="L46" s="21" t="str">
        <f>"184,6350"</f>
        <v>184,6350</v>
      </c>
      <c r="M46" s="20" t="s">
        <v>315</v>
      </c>
    </row>
    <row r="47" spans="1:13">
      <c r="A47" s="21" t="s">
        <v>189</v>
      </c>
      <c r="B47" s="20" t="s">
        <v>338</v>
      </c>
      <c r="C47" s="20" t="s">
        <v>339</v>
      </c>
      <c r="D47" s="20" t="s">
        <v>340</v>
      </c>
      <c r="E47" s="20" t="s">
        <v>1509</v>
      </c>
      <c r="F47" s="20" t="s">
        <v>1401</v>
      </c>
      <c r="G47" s="26" t="s">
        <v>14</v>
      </c>
      <c r="H47" s="26" t="s">
        <v>120</v>
      </c>
      <c r="I47" s="26" t="s">
        <v>15</v>
      </c>
      <c r="J47" s="21"/>
      <c r="K47" s="21" t="str">
        <f>"270,0"</f>
        <v>270,0</v>
      </c>
      <c r="L47" s="21" t="str">
        <f>"181,8180"</f>
        <v>181,8180</v>
      </c>
      <c r="M47" s="20" t="s">
        <v>315</v>
      </c>
    </row>
    <row r="48" spans="1:13">
      <c r="A48" s="21" t="s">
        <v>190</v>
      </c>
      <c r="B48" s="20" t="s">
        <v>861</v>
      </c>
      <c r="C48" s="20" t="s">
        <v>862</v>
      </c>
      <c r="D48" s="20" t="s">
        <v>863</v>
      </c>
      <c r="E48" s="20" t="s">
        <v>1509</v>
      </c>
      <c r="F48" s="20" t="s">
        <v>864</v>
      </c>
      <c r="G48" s="26" t="s">
        <v>112</v>
      </c>
      <c r="H48" s="26" t="s">
        <v>86</v>
      </c>
      <c r="I48" s="27" t="s">
        <v>120</v>
      </c>
      <c r="J48" s="21"/>
      <c r="K48" s="21" t="str">
        <f>"260,0"</f>
        <v>260,0</v>
      </c>
      <c r="L48" s="21" t="str">
        <f>"178,9320"</f>
        <v>178,9320</v>
      </c>
      <c r="M48" s="20" t="s">
        <v>315</v>
      </c>
    </row>
    <row r="49" spans="1:13">
      <c r="A49" s="21" t="s">
        <v>29</v>
      </c>
      <c r="B49" s="20" t="s">
        <v>865</v>
      </c>
      <c r="C49" s="20" t="s">
        <v>1261</v>
      </c>
      <c r="D49" s="20" t="s">
        <v>866</v>
      </c>
      <c r="E49" s="20" t="s">
        <v>1511</v>
      </c>
      <c r="F49" s="20" t="s">
        <v>1409</v>
      </c>
      <c r="G49" s="26" t="s">
        <v>91</v>
      </c>
      <c r="H49" s="27" t="s">
        <v>108</v>
      </c>
      <c r="I49" s="27" t="s">
        <v>108</v>
      </c>
      <c r="J49" s="21"/>
      <c r="K49" s="21" t="str">
        <f>"205,0"</f>
        <v>205,0</v>
      </c>
      <c r="L49" s="21" t="str">
        <f>"145,1140"</f>
        <v>145,1140</v>
      </c>
      <c r="M49" s="20" t="s">
        <v>315</v>
      </c>
    </row>
    <row r="50" spans="1:13">
      <c r="A50" s="21" t="s">
        <v>29</v>
      </c>
      <c r="B50" s="20" t="s">
        <v>334</v>
      </c>
      <c r="C50" s="20" t="s">
        <v>1246</v>
      </c>
      <c r="D50" s="20" t="s">
        <v>82</v>
      </c>
      <c r="E50" s="20" t="s">
        <v>1513</v>
      </c>
      <c r="F50" s="20" t="s">
        <v>336</v>
      </c>
      <c r="G50" s="26" t="s">
        <v>112</v>
      </c>
      <c r="H50" s="26" t="s">
        <v>120</v>
      </c>
      <c r="I50" s="26" t="s">
        <v>337</v>
      </c>
      <c r="J50" s="21"/>
      <c r="K50" s="21" t="str">
        <f>"275,0"</f>
        <v>275,0</v>
      </c>
      <c r="L50" s="21" t="str">
        <f>"230,7938"</f>
        <v>230,7938</v>
      </c>
      <c r="M50" s="20" t="s">
        <v>315</v>
      </c>
    </row>
    <row r="51" spans="1:13">
      <c r="A51" s="19" t="s">
        <v>29</v>
      </c>
      <c r="B51" s="18" t="s">
        <v>867</v>
      </c>
      <c r="C51" s="18" t="s">
        <v>1262</v>
      </c>
      <c r="D51" s="18" t="s">
        <v>686</v>
      </c>
      <c r="E51" s="18" t="s">
        <v>1516</v>
      </c>
      <c r="F51" s="18" t="s">
        <v>1454</v>
      </c>
      <c r="G51" s="24" t="s">
        <v>77</v>
      </c>
      <c r="H51" s="24" t="s">
        <v>83</v>
      </c>
      <c r="I51" s="19"/>
      <c r="J51" s="19"/>
      <c r="K51" s="19" t="str">
        <f>"225,0"</f>
        <v>225,0</v>
      </c>
      <c r="L51" s="19" t="str">
        <f>"237,8260"</f>
        <v>237,8260</v>
      </c>
      <c r="M51" s="18" t="s">
        <v>868</v>
      </c>
    </row>
    <row r="52" spans="1:13">
      <c r="B52" s="5" t="s">
        <v>30</v>
      </c>
    </row>
    <row r="53" spans="1:13" ht="16">
      <c r="A53" s="33" t="s">
        <v>98</v>
      </c>
      <c r="B53" s="33"/>
      <c r="C53" s="33"/>
      <c r="D53" s="33"/>
      <c r="E53" s="33"/>
      <c r="F53" s="33"/>
      <c r="G53" s="33"/>
      <c r="H53" s="33"/>
      <c r="I53" s="33"/>
      <c r="J53" s="33"/>
    </row>
    <row r="54" spans="1:13">
      <c r="A54" s="17" t="s">
        <v>29</v>
      </c>
      <c r="B54" s="16" t="s">
        <v>869</v>
      </c>
      <c r="C54" s="16" t="s">
        <v>870</v>
      </c>
      <c r="D54" s="16" t="s">
        <v>871</v>
      </c>
      <c r="E54" s="16" t="s">
        <v>1509</v>
      </c>
      <c r="F54" s="16" t="s">
        <v>1481</v>
      </c>
      <c r="G54" s="22" t="s">
        <v>14</v>
      </c>
      <c r="H54" s="22" t="s">
        <v>19</v>
      </c>
      <c r="I54" s="23" t="s">
        <v>120</v>
      </c>
      <c r="J54" s="17"/>
      <c r="K54" s="17" t="str">
        <f>"262,5"</f>
        <v>262,5</v>
      </c>
      <c r="L54" s="17" t="str">
        <f>"168,6300"</f>
        <v>168,6300</v>
      </c>
      <c r="M54" s="16" t="s">
        <v>315</v>
      </c>
    </row>
    <row r="55" spans="1:13">
      <c r="A55" s="19" t="s">
        <v>29</v>
      </c>
      <c r="B55" s="18" t="s">
        <v>872</v>
      </c>
      <c r="C55" s="18" t="s">
        <v>1263</v>
      </c>
      <c r="D55" s="18" t="s">
        <v>873</v>
      </c>
      <c r="E55" s="18" t="s">
        <v>1510</v>
      </c>
      <c r="F55" s="18" t="s">
        <v>1403</v>
      </c>
      <c r="G55" s="25" t="s">
        <v>43</v>
      </c>
      <c r="H55" s="24" t="s">
        <v>43</v>
      </c>
      <c r="I55" s="24" t="s">
        <v>341</v>
      </c>
      <c r="J55" s="19"/>
      <c r="K55" s="19" t="str">
        <f>"162,5"</f>
        <v>162,5</v>
      </c>
      <c r="L55" s="19" t="str">
        <f>"114,5539"</f>
        <v>114,5539</v>
      </c>
      <c r="M55" s="18" t="s">
        <v>858</v>
      </c>
    </row>
    <row r="56" spans="1:13">
      <c r="B56" s="5" t="s">
        <v>30</v>
      </c>
    </row>
    <row r="57" spans="1:13" ht="16">
      <c r="A57" s="33" t="s">
        <v>122</v>
      </c>
      <c r="B57" s="33"/>
      <c r="C57" s="33"/>
      <c r="D57" s="33"/>
      <c r="E57" s="33"/>
      <c r="F57" s="33"/>
      <c r="G57" s="33"/>
      <c r="H57" s="33"/>
      <c r="I57" s="33"/>
      <c r="J57" s="33"/>
    </row>
    <row r="58" spans="1:13">
      <c r="A58" s="17" t="s">
        <v>29</v>
      </c>
      <c r="B58" s="16" t="s">
        <v>874</v>
      </c>
      <c r="C58" s="16" t="s">
        <v>875</v>
      </c>
      <c r="D58" s="16" t="s">
        <v>876</v>
      </c>
      <c r="E58" s="16" t="s">
        <v>1509</v>
      </c>
      <c r="F58" s="16" t="s">
        <v>877</v>
      </c>
      <c r="G58" s="23" t="s">
        <v>159</v>
      </c>
      <c r="H58" s="22" t="s">
        <v>144</v>
      </c>
      <c r="I58" s="23" t="s">
        <v>465</v>
      </c>
      <c r="J58" s="17"/>
      <c r="K58" s="17" t="str">
        <f>"300,0"</f>
        <v>300,0</v>
      </c>
      <c r="L58" s="17" t="str">
        <f>"184,9800"</f>
        <v>184,9800</v>
      </c>
      <c r="M58" s="16" t="s">
        <v>315</v>
      </c>
    </row>
    <row r="59" spans="1:13">
      <c r="A59" s="19" t="s">
        <v>189</v>
      </c>
      <c r="B59" s="18" t="s">
        <v>878</v>
      </c>
      <c r="C59" s="18" t="s">
        <v>879</v>
      </c>
      <c r="D59" s="18" t="s">
        <v>391</v>
      </c>
      <c r="E59" s="18" t="s">
        <v>1509</v>
      </c>
      <c r="F59" s="18" t="s">
        <v>1434</v>
      </c>
      <c r="G59" s="24" t="s">
        <v>86</v>
      </c>
      <c r="H59" s="25" t="s">
        <v>337</v>
      </c>
      <c r="I59" s="25" t="s">
        <v>337</v>
      </c>
      <c r="J59" s="19"/>
      <c r="K59" s="19" t="str">
        <f>"260,0"</f>
        <v>260,0</v>
      </c>
      <c r="L59" s="19" t="str">
        <f>"161,0440"</f>
        <v>161,0440</v>
      </c>
      <c r="M59" s="18" t="s">
        <v>467</v>
      </c>
    </row>
    <row r="60" spans="1:13">
      <c r="B60" s="5" t="s">
        <v>30</v>
      </c>
    </row>
    <row r="61" spans="1:13" ht="16">
      <c r="A61" s="33" t="s">
        <v>148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3">
      <c r="A62" s="8" t="s">
        <v>29</v>
      </c>
      <c r="B62" s="7" t="s">
        <v>406</v>
      </c>
      <c r="C62" s="7" t="s">
        <v>407</v>
      </c>
      <c r="D62" s="7" t="s">
        <v>408</v>
      </c>
      <c r="E62" s="7" t="s">
        <v>1509</v>
      </c>
      <c r="F62" s="7" t="s">
        <v>1427</v>
      </c>
      <c r="G62" s="14" t="s">
        <v>125</v>
      </c>
      <c r="H62" s="14" t="s">
        <v>174</v>
      </c>
      <c r="I62" s="14" t="s">
        <v>135</v>
      </c>
      <c r="J62" s="8"/>
      <c r="K62" s="8" t="str">
        <f>"302,5"</f>
        <v>302,5</v>
      </c>
      <c r="L62" s="8" t="str">
        <f>"174,3912"</f>
        <v>174,3912</v>
      </c>
      <c r="M62" s="7" t="s">
        <v>315</v>
      </c>
    </row>
    <row r="63" spans="1:13">
      <c r="B63" s="5" t="s">
        <v>30</v>
      </c>
    </row>
    <row r="64" spans="1:13" ht="16">
      <c r="A64" s="33" t="s">
        <v>164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3">
      <c r="A65" s="17" t="s">
        <v>29</v>
      </c>
      <c r="B65" s="16" t="s">
        <v>880</v>
      </c>
      <c r="C65" s="16" t="s">
        <v>881</v>
      </c>
      <c r="D65" s="16" t="s">
        <v>882</v>
      </c>
      <c r="E65" s="16" t="s">
        <v>1509</v>
      </c>
      <c r="F65" s="16" t="s">
        <v>1488</v>
      </c>
      <c r="G65" s="22" t="s">
        <v>159</v>
      </c>
      <c r="H65" s="22" t="s">
        <v>811</v>
      </c>
      <c r="I65" s="23" t="s">
        <v>136</v>
      </c>
      <c r="J65" s="17"/>
      <c r="K65" s="17" t="str">
        <f>"305,0"</f>
        <v>305,0</v>
      </c>
      <c r="L65" s="17" t="str">
        <f>"170,9830"</f>
        <v>170,9830</v>
      </c>
      <c r="M65" s="16" t="s">
        <v>315</v>
      </c>
    </row>
    <row r="66" spans="1:13">
      <c r="A66" s="21" t="s">
        <v>189</v>
      </c>
      <c r="B66" s="20" t="s">
        <v>883</v>
      </c>
      <c r="C66" s="20" t="s">
        <v>884</v>
      </c>
      <c r="D66" s="20" t="s">
        <v>885</v>
      </c>
      <c r="E66" s="20" t="s">
        <v>1509</v>
      </c>
      <c r="F66" s="20" t="s">
        <v>1436</v>
      </c>
      <c r="G66" s="26" t="s">
        <v>17</v>
      </c>
      <c r="H66" s="26" t="s">
        <v>14</v>
      </c>
      <c r="I66" s="26" t="s">
        <v>15</v>
      </c>
      <c r="J66" s="21"/>
      <c r="K66" s="21" t="str">
        <f>"270,0"</f>
        <v>270,0</v>
      </c>
      <c r="L66" s="21" t="str">
        <f>"153,7110"</f>
        <v>153,7110</v>
      </c>
      <c r="M66" s="20" t="s">
        <v>453</v>
      </c>
    </row>
    <row r="67" spans="1:13">
      <c r="A67" s="19" t="s">
        <v>190</v>
      </c>
      <c r="B67" s="18" t="s">
        <v>412</v>
      </c>
      <c r="C67" s="18" t="s">
        <v>413</v>
      </c>
      <c r="D67" s="18" t="s">
        <v>414</v>
      </c>
      <c r="E67" s="18" t="s">
        <v>1509</v>
      </c>
      <c r="F67" s="18" t="s">
        <v>1429</v>
      </c>
      <c r="G67" s="24" t="s">
        <v>13</v>
      </c>
      <c r="H67" s="25" t="s">
        <v>112</v>
      </c>
      <c r="I67" s="25" t="s">
        <v>112</v>
      </c>
      <c r="J67" s="19"/>
      <c r="K67" s="19" t="str">
        <f>"240,0"</f>
        <v>240,0</v>
      </c>
      <c r="L67" s="19" t="str">
        <f>"136,7520"</f>
        <v>136,7520</v>
      </c>
      <c r="M67" s="18" t="s">
        <v>415</v>
      </c>
    </row>
    <row r="68" spans="1:13">
      <c r="B68" s="5" t="s">
        <v>30</v>
      </c>
    </row>
    <row r="69" spans="1:13">
      <c r="B69" s="5" t="s">
        <v>30</v>
      </c>
    </row>
    <row r="70" spans="1:13">
      <c r="B70" s="5" t="s">
        <v>30</v>
      </c>
    </row>
    <row r="71" spans="1:13" ht="18">
      <c r="B71" s="9" t="s">
        <v>20</v>
      </c>
      <c r="C71" s="9"/>
      <c r="F71" s="3"/>
    </row>
    <row r="72" spans="1:13" ht="16">
      <c r="B72" s="10" t="s">
        <v>172</v>
      </c>
      <c r="C72" s="10"/>
      <c r="F72" s="3"/>
    </row>
    <row r="73" spans="1:13" ht="14">
      <c r="B73" s="11"/>
      <c r="C73" s="12" t="s">
        <v>175</v>
      </c>
      <c r="F73" s="3"/>
    </row>
    <row r="74" spans="1:13" ht="14">
      <c r="B74" s="13" t="s">
        <v>23</v>
      </c>
      <c r="C74" s="13" t="s">
        <v>24</v>
      </c>
      <c r="D74" s="13" t="s">
        <v>1347</v>
      </c>
      <c r="E74" s="13" t="s">
        <v>575</v>
      </c>
      <c r="F74" s="13" t="s">
        <v>27</v>
      </c>
    </row>
    <row r="75" spans="1:13">
      <c r="B75" s="5" t="s">
        <v>838</v>
      </c>
      <c r="C75" s="5" t="s">
        <v>175</v>
      </c>
      <c r="D75" s="6" t="s">
        <v>176</v>
      </c>
      <c r="E75" s="6" t="s">
        <v>357</v>
      </c>
      <c r="F75" s="6" t="s">
        <v>886</v>
      </c>
    </row>
    <row r="76" spans="1:13">
      <c r="B76" s="5" t="s">
        <v>227</v>
      </c>
      <c r="C76" s="5" t="s">
        <v>175</v>
      </c>
      <c r="D76" s="6" t="s">
        <v>418</v>
      </c>
      <c r="E76" s="6" t="s">
        <v>119</v>
      </c>
      <c r="F76" s="6" t="s">
        <v>887</v>
      </c>
    </row>
    <row r="77" spans="1:13">
      <c r="B77" s="5" t="s">
        <v>842</v>
      </c>
      <c r="C77" s="5" t="s">
        <v>175</v>
      </c>
      <c r="D77" s="6" t="s">
        <v>176</v>
      </c>
      <c r="E77" s="6" t="s">
        <v>84</v>
      </c>
      <c r="F77" s="6" t="s">
        <v>888</v>
      </c>
    </row>
    <row r="79" spans="1:13" ht="16">
      <c r="B79" s="10" t="s">
        <v>21</v>
      </c>
      <c r="C79" s="10"/>
    </row>
    <row r="80" spans="1:13" ht="14">
      <c r="B80" s="11"/>
      <c r="C80" s="12" t="s">
        <v>175</v>
      </c>
    </row>
    <row r="81" spans="2:6" ht="14">
      <c r="B81" s="13" t="s">
        <v>23</v>
      </c>
      <c r="C81" s="13" t="s">
        <v>24</v>
      </c>
      <c r="D81" s="13" t="s">
        <v>1347</v>
      </c>
      <c r="E81" s="13" t="s">
        <v>575</v>
      </c>
      <c r="F81" s="13" t="s">
        <v>27</v>
      </c>
    </row>
    <row r="82" spans="2:6">
      <c r="B82" s="5" t="s">
        <v>874</v>
      </c>
      <c r="C82" s="5" t="s">
        <v>175</v>
      </c>
      <c r="D82" s="6" t="s">
        <v>179</v>
      </c>
      <c r="E82" s="6" t="s">
        <v>144</v>
      </c>
      <c r="F82" s="6" t="s">
        <v>889</v>
      </c>
    </row>
    <row r="83" spans="2:6">
      <c r="B83" s="5" t="s">
        <v>334</v>
      </c>
      <c r="C83" s="5" t="s">
        <v>175</v>
      </c>
      <c r="D83" s="6" t="s">
        <v>182</v>
      </c>
      <c r="E83" s="6" t="s">
        <v>337</v>
      </c>
      <c r="F83" s="6" t="s">
        <v>890</v>
      </c>
    </row>
    <row r="84" spans="2:6">
      <c r="B84" s="5" t="s">
        <v>338</v>
      </c>
      <c r="C84" s="5" t="s">
        <v>175</v>
      </c>
      <c r="D84" s="6" t="s">
        <v>182</v>
      </c>
      <c r="E84" s="6" t="s">
        <v>15</v>
      </c>
      <c r="F84" s="6" t="s">
        <v>891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64:J64"/>
    <mergeCell ref="A9:J9"/>
    <mergeCell ref="A14:J14"/>
    <mergeCell ref="A23:J23"/>
    <mergeCell ref="A26:J26"/>
    <mergeCell ref="A30:J30"/>
    <mergeCell ref="A34:J34"/>
    <mergeCell ref="A37:J37"/>
    <mergeCell ref="A43:J43"/>
    <mergeCell ref="A53:J53"/>
    <mergeCell ref="A57:J57"/>
    <mergeCell ref="A61:J6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M28"/>
  <sheetViews>
    <sheetView workbookViewId="0">
      <selection activeCell="E28" sqref="E28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4" t="s">
        <v>1366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9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31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797</v>
      </c>
      <c r="C6" s="7" t="s">
        <v>1264</v>
      </c>
      <c r="D6" s="7" t="s">
        <v>798</v>
      </c>
      <c r="E6" s="7" t="s">
        <v>1511</v>
      </c>
      <c r="F6" s="7" t="s">
        <v>1474</v>
      </c>
      <c r="G6" s="14" t="s">
        <v>65</v>
      </c>
      <c r="H6" s="15" t="s">
        <v>799</v>
      </c>
      <c r="I6" s="15" t="s">
        <v>799</v>
      </c>
      <c r="J6" s="8"/>
      <c r="K6" s="8" t="str">
        <f>"185,0"</f>
        <v>185,0</v>
      </c>
      <c r="L6" s="8" t="str">
        <f>"228,8516"</f>
        <v>228,8516</v>
      </c>
      <c r="M6" s="7" t="s">
        <v>800</v>
      </c>
    </row>
    <row r="7" spans="1:13">
      <c r="B7" s="5" t="s">
        <v>30</v>
      </c>
    </row>
    <row r="8" spans="1:13" ht="16">
      <c r="A8" s="33" t="s">
        <v>67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29</v>
      </c>
      <c r="B9" s="7" t="s">
        <v>801</v>
      </c>
      <c r="C9" s="7" t="s">
        <v>802</v>
      </c>
      <c r="D9" s="7" t="s">
        <v>321</v>
      </c>
      <c r="E9" s="7" t="s">
        <v>1509</v>
      </c>
      <c r="F9" s="7" t="s">
        <v>1489</v>
      </c>
      <c r="G9" s="14" t="s">
        <v>385</v>
      </c>
      <c r="H9" s="14" t="s">
        <v>91</v>
      </c>
      <c r="I9" s="14" t="s">
        <v>108</v>
      </c>
      <c r="J9" s="8"/>
      <c r="K9" s="8" t="str">
        <f>"210,0"</f>
        <v>210,0</v>
      </c>
      <c r="L9" s="8" t="str">
        <f>"151,9350"</f>
        <v>151,9350</v>
      </c>
      <c r="M9" s="7" t="s">
        <v>315</v>
      </c>
    </row>
    <row r="10" spans="1:13">
      <c r="B10" s="5" t="s">
        <v>30</v>
      </c>
    </row>
    <row r="11" spans="1:13" ht="16">
      <c r="A11" s="33" t="s">
        <v>79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29</v>
      </c>
      <c r="B12" s="7" t="s">
        <v>80</v>
      </c>
      <c r="C12" s="7" t="s">
        <v>81</v>
      </c>
      <c r="D12" s="7" t="s">
        <v>82</v>
      </c>
      <c r="E12" s="7" t="s">
        <v>1509</v>
      </c>
      <c r="F12" s="7" t="s">
        <v>1428</v>
      </c>
      <c r="G12" s="14" t="s">
        <v>13</v>
      </c>
      <c r="H12" s="14" t="s">
        <v>14</v>
      </c>
      <c r="I12" s="15" t="s">
        <v>86</v>
      </c>
      <c r="J12" s="8"/>
      <c r="K12" s="8" t="str">
        <f>"255,0"</f>
        <v>255,0</v>
      </c>
      <c r="L12" s="8" t="str">
        <f>"171,2070"</f>
        <v>171,2070</v>
      </c>
      <c r="M12" s="7" t="s">
        <v>315</v>
      </c>
    </row>
    <row r="13" spans="1:13">
      <c r="B13" s="5" t="s">
        <v>30</v>
      </c>
    </row>
    <row r="14" spans="1:13" ht="16">
      <c r="A14" s="33" t="s">
        <v>98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29</v>
      </c>
      <c r="B15" s="7" t="s">
        <v>803</v>
      </c>
      <c r="C15" s="7" t="s">
        <v>1265</v>
      </c>
      <c r="D15" s="7" t="s">
        <v>457</v>
      </c>
      <c r="E15" s="7" t="s">
        <v>1516</v>
      </c>
      <c r="F15" s="7" t="s">
        <v>1409</v>
      </c>
      <c r="G15" s="14" t="s">
        <v>16</v>
      </c>
      <c r="H15" s="15" t="s">
        <v>18</v>
      </c>
      <c r="I15" s="14" t="s">
        <v>112</v>
      </c>
      <c r="J15" s="8"/>
      <c r="K15" s="8" t="str">
        <f>"250,0"</f>
        <v>250,0</v>
      </c>
      <c r="L15" s="8" t="str">
        <f>"226,8690"</f>
        <v>226,8690</v>
      </c>
      <c r="M15" s="7" t="s">
        <v>315</v>
      </c>
    </row>
    <row r="16" spans="1:13">
      <c r="B16" s="5" t="s">
        <v>30</v>
      </c>
    </row>
    <row r="17" spans="1:13" ht="16">
      <c r="A17" s="33" t="s">
        <v>122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3">
      <c r="A18" s="17" t="s">
        <v>29</v>
      </c>
      <c r="B18" s="16" t="s">
        <v>123</v>
      </c>
      <c r="C18" s="16" t="s">
        <v>1266</v>
      </c>
      <c r="D18" s="16" t="s">
        <v>124</v>
      </c>
      <c r="E18" s="16" t="s">
        <v>1512</v>
      </c>
      <c r="F18" s="16" t="s">
        <v>1441</v>
      </c>
      <c r="G18" s="22" t="s">
        <v>127</v>
      </c>
      <c r="H18" s="22" t="s">
        <v>168</v>
      </c>
      <c r="I18" s="23" t="s">
        <v>804</v>
      </c>
      <c r="J18" s="17"/>
      <c r="K18" s="17" t="str">
        <f>"340,0"</f>
        <v>340,0</v>
      </c>
      <c r="L18" s="17" t="str">
        <f>"206,9240"</f>
        <v>206,9240</v>
      </c>
      <c r="M18" s="16" t="s">
        <v>1380</v>
      </c>
    </row>
    <row r="19" spans="1:13">
      <c r="A19" s="21" t="s">
        <v>29</v>
      </c>
      <c r="B19" s="20" t="s">
        <v>805</v>
      </c>
      <c r="C19" s="20" t="s">
        <v>806</v>
      </c>
      <c r="D19" s="20" t="s">
        <v>807</v>
      </c>
      <c r="E19" s="20" t="s">
        <v>1509</v>
      </c>
      <c r="F19" s="20" t="s">
        <v>1474</v>
      </c>
      <c r="G19" s="26" t="s">
        <v>808</v>
      </c>
      <c r="H19" s="21"/>
      <c r="I19" s="21"/>
      <c r="J19" s="21"/>
      <c r="K19" s="21" t="str">
        <f>"350,0"</f>
        <v>350,0</v>
      </c>
      <c r="L19" s="21" t="str">
        <f>"214,4100"</f>
        <v>214,4100</v>
      </c>
      <c r="M19" s="20" t="s">
        <v>315</v>
      </c>
    </row>
    <row r="20" spans="1:13">
      <c r="A20" s="21" t="s">
        <v>189</v>
      </c>
      <c r="B20" s="20" t="s">
        <v>809</v>
      </c>
      <c r="C20" s="20" t="s">
        <v>810</v>
      </c>
      <c r="D20" s="20" t="s">
        <v>520</v>
      </c>
      <c r="E20" s="20" t="s">
        <v>1509</v>
      </c>
      <c r="F20" s="20" t="s">
        <v>1489</v>
      </c>
      <c r="G20" s="26" t="s">
        <v>159</v>
      </c>
      <c r="H20" s="26" t="s">
        <v>811</v>
      </c>
      <c r="I20" s="27" t="s">
        <v>425</v>
      </c>
      <c r="J20" s="21"/>
      <c r="K20" s="21" t="str">
        <f>"305,0"</f>
        <v>305,0</v>
      </c>
      <c r="L20" s="21" t="str">
        <f>"187,3920"</f>
        <v>187,3920</v>
      </c>
      <c r="M20" s="20" t="s">
        <v>315</v>
      </c>
    </row>
    <row r="21" spans="1:13">
      <c r="A21" s="21" t="s">
        <v>29</v>
      </c>
      <c r="B21" s="20" t="s">
        <v>812</v>
      </c>
      <c r="C21" s="20" t="s">
        <v>1209</v>
      </c>
      <c r="D21" s="20" t="s">
        <v>62</v>
      </c>
      <c r="E21" s="20" t="s">
        <v>1510</v>
      </c>
      <c r="F21" s="20" t="s">
        <v>1403</v>
      </c>
      <c r="G21" s="26" t="s">
        <v>78</v>
      </c>
      <c r="H21" s="26" t="s">
        <v>13</v>
      </c>
      <c r="I21" s="27" t="s">
        <v>86</v>
      </c>
      <c r="J21" s="21"/>
      <c r="K21" s="21" t="str">
        <f>"240,0"</f>
        <v>240,0</v>
      </c>
      <c r="L21" s="21" t="str">
        <f>"158,2849"</f>
        <v>158,2849</v>
      </c>
      <c r="M21" s="20" t="s">
        <v>813</v>
      </c>
    </row>
    <row r="22" spans="1:13">
      <c r="A22" s="21" t="s">
        <v>29</v>
      </c>
      <c r="B22" s="20" t="s">
        <v>809</v>
      </c>
      <c r="C22" s="20" t="s">
        <v>1267</v>
      </c>
      <c r="D22" s="20" t="s">
        <v>520</v>
      </c>
      <c r="E22" s="20" t="s">
        <v>1518</v>
      </c>
      <c r="F22" s="20" t="s">
        <v>1489</v>
      </c>
      <c r="G22" s="26" t="s">
        <v>159</v>
      </c>
      <c r="H22" s="26" t="s">
        <v>811</v>
      </c>
      <c r="I22" s="27" t="s">
        <v>425</v>
      </c>
      <c r="J22" s="21"/>
      <c r="K22" s="21" t="str">
        <f>"305,0"</f>
        <v>305,0</v>
      </c>
      <c r="L22" s="21" t="str">
        <f>"218,8739"</f>
        <v>218,8739</v>
      </c>
      <c r="M22" s="20" t="s">
        <v>315</v>
      </c>
    </row>
    <row r="23" spans="1:13">
      <c r="A23" s="19" t="s">
        <v>189</v>
      </c>
      <c r="B23" s="18" t="s">
        <v>814</v>
      </c>
      <c r="C23" s="18" t="s">
        <v>1268</v>
      </c>
      <c r="D23" s="18" t="s">
        <v>815</v>
      </c>
      <c r="E23" s="18" t="s">
        <v>1518</v>
      </c>
      <c r="F23" s="18" t="s">
        <v>1417</v>
      </c>
      <c r="G23" s="24" t="s">
        <v>120</v>
      </c>
      <c r="H23" s="24" t="s">
        <v>125</v>
      </c>
      <c r="I23" s="25" t="s">
        <v>126</v>
      </c>
      <c r="J23" s="19"/>
      <c r="K23" s="19" t="str">
        <f>"280,0"</f>
        <v>280,0</v>
      </c>
      <c r="L23" s="19" t="str">
        <f>"199,3636"</f>
        <v>199,3636</v>
      </c>
      <c r="M23" s="18" t="s">
        <v>816</v>
      </c>
    </row>
    <row r="24" spans="1:13">
      <c r="B24" s="5" t="s">
        <v>30</v>
      </c>
    </row>
    <row r="25" spans="1:13" ht="16">
      <c r="A25" s="33" t="s">
        <v>148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>
      <c r="A26" s="17" t="s">
        <v>29</v>
      </c>
      <c r="B26" s="16" t="s">
        <v>817</v>
      </c>
      <c r="C26" s="16" t="s">
        <v>818</v>
      </c>
      <c r="D26" s="16" t="s">
        <v>819</v>
      </c>
      <c r="E26" s="16" t="s">
        <v>1509</v>
      </c>
      <c r="F26" s="16" t="s">
        <v>1490</v>
      </c>
      <c r="G26" s="22" t="s">
        <v>337</v>
      </c>
      <c r="H26" s="22" t="s">
        <v>159</v>
      </c>
      <c r="I26" s="22" t="s">
        <v>144</v>
      </c>
      <c r="J26" s="17"/>
      <c r="K26" s="17" t="str">
        <f>"300,0"</f>
        <v>300,0</v>
      </c>
      <c r="L26" s="17" t="str">
        <f>"171,3300"</f>
        <v>171,3300</v>
      </c>
      <c r="M26" s="16" t="s">
        <v>820</v>
      </c>
    </row>
    <row r="27" spans="1:13">
      <c r="A27" s="19" t="s">
        <v>29</v>
      </c>
      <c r="B27" s="18" t="s">
        <v>821</v>
      </c>
      <c r="C27" s="18" t="s">
        <v>1269</v>
      </c>
      <c r="D27" s="18" t="s">
        <v>822</v>
      </c>
      <c r="E27" s="18" t="s">
        <v>1510</v>
      </c>
      <c r="F27" s="18" t="s">
        <v>1489</v>
      </c>
      <c r="G27" s="24" t="s">
        <v>13</v>
      </c>
      <c r="H27" s="25" t="s">
        <v>86</v>
      </c>
      <c r="I27" s="25" t="s">
        <v>86</v>
      </c>
      <c r="J27" s="19"/>
      <c r="K27" s="19" t="str">
        <f>"240,0"</f>
        <v>240,0</v>
      </c>
      <c r="L27" s="19" t="str">
        <f>"149,3332"</f>
        <v>149,3332</v>
      </c>
      <c r="M27" s="18" t="s">
        <v>823</v>
      </c>
    </row>
    <row r="28" spans="1:13">
      <c r="B28" s="5" t="s">
        <v>30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5:J25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10" style="6" customWidth="1"/>
    <col min="13" max="13" width="20.5" style="5" customWidth="1"/>
    <col min="14" max="16384" width="9.1640625" style="3"/>
  </cols>
  <sheetData>
    <row r="1" spans="1:13" s="2" customFormat="1" ht="29" customHeight="1">
      <c r="A1" s="44" t="s">
        <v>1363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9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148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406</v>
      </c>
      <c r="C6" s="7" t="s">
        <v>407</v>
      </c>
      <c r="D6" s="7" t="s">
        <v>408</v>
      </c>
      <c r="E6" s="7" t="s">
        <v>1509</v>
      </c>
      <c r="F6" s="7" t="s">
        <v>1427</v>
      </c>
      <c r="G6" s="14" t="s">
        <v>15</v>
      </c>
      <c r="H6" s="15" t="s">
        <v>174</v>
      </c>
      <c r="I6" s="8"/>
      <c r="J6" s="8"/>
      <c r="K6" s="8" t="str">
        <f>"270,0"</f>
        <v>270,0</v>
      </c>
      <c r="L6" s="8" t="str">
        <f>"155,6550"</f>
        <v>155,6550</v>
      </c>
      <c r="M6" s="7" t="s">
        <v>315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M8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18.5" style="5" customWidth="1"/>
    <col min="14" max="16384" width="9.1640625" style="3"/>
  </cols>
  <sheetData>
    <row r="1" spans="1:13" s="2" customFormat="1" ht="29" customHeight="1">
      <c r="A1" s="44" t="s">
        <v>1364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9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122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29</v>
      </c>
      <c r="B6" s="16" t="s">
        <v>892</v>
      </c>
      <c r="C6" s="16" t="s">
        <v>893</v>
      </c>
      <c r="D6" s="16" t="s">
        <v>894</v>
      </c>
      <c r="E6" s="16" t="s">
        <v>1509</v>
      </c>
      <c r="F6" s="16" t="s">
        <v>1491</v>
      </c>
      <c r="G6" s="22" t="s">
        <v>811</v>
      </c>
      <c r="H6" s="22" t="s">
        <v>466</v>
      </c>
      <c r="I6" s="17"/>
      <c r="J6" s="17"/>
      <c r="K6" s="17" t="str">
        <f>"322,5"</f>
        <v>322,5</v>
      </c>
      <c r="L6" s="17" t="str">
        <f>"200,0467"</f>
        <v>200,0467</v>
      </c>
      <c r="M6" s="16" t="s">
        <v>895</v>
      </c>
    </row>
    <row r="7" spans="1:13">
      <c r="A7" s="19" t="s">
        <v>29</v>
      </c>
      <c r="B7" s="18" t="s">
        <v>892</v>
      </c>
      <c r="C7" s="18" t="s">
        <v>1253</v>
      </c>
      <c r="D7" s="18" t="s">
        <v>894</v>
      </c>
      <c r="E7" s="18" t="s">
        <v>1511</v>
      </c>
      <c r="F7" s="18" t="s">
        <v>1491</v>
      </c>
      <c r="G7" s="24" t="s">
        <v>811</v>
      </c>
      <c r="H7" s="24" t="s">
        <v>466</v>
      </c>
      <c r="I7" s="19"/>
      <c r="J7" s="19"/>
      <c r="K7" s="19" t="str">
        <f>"322,5"</f>
        <v>322,5</v>
      </c>
      <c r="L7" s="19" t="str">
        <f>"202,8474"</f>
        <v>202,8474</v>
      </c>
      <c r="M7" s="18" t="s">
        <v>895</v>
      </c>
    </row>
    <row r="8" spans="1:13">
      <c r="B8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66"/>
  <sheetViews>
    <sheetView topLeftCell="A20" workbookViewId="0">
      <selection activeCell="E50" sqref="E50"/>
    </sheetView>
  </sheetViews>
  <sheetFormatPr baseColWidth="10" defaultColWidth="9.1640625" defaultRowHeight="13"/>
  <cols>
    <col min="1" max="1" width="7.5" style="5" bestFit="1" customWidth="1"/>
    <col min="2" max="2" width="23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1640625" style="5" bestFit="1" customWidth="1"/>
    <col min="7" max="14" width="5.5" style="6" customWidth="1"/>
    <col min="15" max="15" width="7.83203125" style="28" bestFit="1" customWidth="1"/>
    <col min="16" max="16" width="8.5" style="6" bestFit="1" customWidth="1"/>
    <col min="17" max="17" width="16.83203125" style="5" bestFit="1" customWidth="1"/>
    <col min="18" max="16384" width="9.1640625" style="3"/>
  </cols>
  <sheetData>
    <row r="1" spans="1:17" s="2" customFormat="1" ht="29" customHeight="1">
      <c r="A1" s="44" t="s">
        <v>1340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1503</v>
      </c>
      <c r="H3" s="38"/>
      <c r="I3" s="38"/>
      <c r="J3" s="38"/>
      <c r="K3" s="38" t="s">
        <v>1505</v>
      </c>
      <c r="L3" s="38"/>
      <c r="M3" s="38"/>
      <c r="N3" s="38"/>
      <c r="O3" s="36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9"/>
      <c r="Q4" s="41"/>
    </row>
    <row r="5" spans="1:17" ht="16">
      <c r="A5" s="42" t="s">
        <v>226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17" t="s">
        <v>29</v>
      </c>
      <c r="B6" s="16" t="s">
        <v>227</v>
      </c>
      <c r="C6" s="16" t="s">
        <v>228</v>
      </c>
      <c r="D6" s="16" t="s">
        <v>229</v>
      </c>
      <c r="E6" s="16" t="s">
        <v>1509</v>
      </c>
      <c r="F6" s="16" t="s">
        <v>1404</v>
      </c>
      <c r="G6" s="22" t="s">
        <v>196</v>
      </c>
      <c r="H6" s="22" t="s">
        <v>197</v>
      </c>
      <c r="I6" s="22" t="s">
        <v>223</v>
      </c>
      <c r="J6" s="17"/>
      <c r="K6" s="22" t="s">
        <v>244</v>
      </c>
      <c r="L6" s="22" t="s">
        <v>196</v>
      </c>
      <c r="M6" s="22" t="s">
        <v>1017</v>
      </c>
      <c r="N6" s="17"/>
      <c r="O6" s="29" t="str">
        <f>"91,0"</f>
        <v>91,0</v>
      </c>
      <c r="P6" s="17" t="str">
        <f>"102,8209"</f>
        <v>102,8209</v>
      </c>
      <c r="Q6" s="16" t="s">
        <v>232</v>
      </c>
    </row>
    <row r="7" spans="1:17">
      <c r="A7" s="21" t="s">
        <v>189</v>
      </c>
      <c r="B7" s="20" t="s">
        <v>1080</v>
      </c>
      <c r="C7" s="20" t="s">
        <v>1081</v>
      </c>
      <c r="D7" s="20" t="s">
        <v>484</v>
      </c>
      <c r="E7" s="20" t="s">
        <v>1509</v>
      </c>
      <c r="F7" s="20" t="s">
        <v>1402</v>
      </c>
      <c r="G7" s="26" t="s">
        <v>952</v>
      </c>
      <c r="H7" s="26" t="s">
        <v>921</v>
      </c>
      <c r="I7" s="27" t="s">
        <v>948</v>
      </c>
      <c r="J7" s="21"/>
      <c r="K7" s="26" t="s">
        <v>952</v>
      </c>
      <c r="L7" s="26" t="s">
        <v>921</v>
      </c>
      <c r="M7" s="27" t="s">
        <v>948</v>
      </c>
      <c r="N7" s="21"/>
      <c r="O7" s="32" t="str">
        <f>"60,0"</f>
        <v>60,0</v>
      </c>
      <c r="P7" s="21" t="str">
        <f>"67,4820"</f>
        <v>67,4820</v>
      </c>
      <c r="Q7" s="20" t="s">
        <v>623</v>
      </c>
    </row>
    <row r="8" spans="1:17">
      <c r="A8" s="21" t="s">
        <v>190</v>
      </c>
      <c r="B8" s="20" t="s">
        <v>215</v>
      </c>
      <c r="C8" s="20" t="s">
        <v>216</v>
      </c>
      <c r="D8" s="20" t="s">
        <v>217</v>
      </c>
      <c r="E8" s="20" t="s">
        <v>1509</v>
      </c>
      <c r="F8" s="20" t="s">
        <v>1402</v>
      </c>
      <c r="G8" s="26" t="s">
        <v>952</v>
      </c>
      <c r="H8" s="27" t="s">
        <v>921</v>
      </c>
      <c r="I8" s="27" t="s">
        <v>921</v>
      </c>
      <c r="J8" s="21"/>
      <c r="K8" s="26" t="s">
        <v>952</v>
      </c>
      <c r="L8" s="26" t="s">
        <v>921</v>
      </c>
      <c r="M8" s="27" t="s">
        <v>948</v>
      </c>
      <c r="N8" s="21"/>
      <c r="O8" s="32" t="str">
        <f>"57,5"</f>
        <v>57,5</v>
      </c>
      <c r="P8" s="21" t="str">
        <f>"68,3330"</f>
        <v>68,3330</v>
      </c>
      <c r="Q8" s="20" t="s">
        <v>623</v>
      </c>
    </row>
    <row r="9" spans="1:17">
      <c r="A9" s="19" t="s">
        <v>437</v>
      </c>
      <c r="B9" s="18" t="s">
        <v>1082</v>
      </c>
      <c r="C9" s="18" t="s">
        <v>1083</v>
      </c>
      <c r="D9" s="18" t="s">
        <v>248</v>
      </c>
      <c r="E9" s="18" t="s">
        <v>1509</v>
      </c>
      <c r="F9" s="18" t="s">
        <v>1412</v>
      </c>
      <c r="G9" s="24" t="s">
        <v>947</v>
      </c>
      <c r="H9" s="24" t="s">
        <v>949</v>
      </c>
      <c r="I9" s="24" t="s">
        <v>950</v>
      </c>
      <c r="J9" s="19"/>
      <c r="K9" s="24" t="s">
        <v>947</v>
      </c>
      <c r="L9" s="24" t="s">
        <v>949</v>
      </c>
      <c r="M9" s="25" t="s">
        <v>950</v>
      </c>
      <c r="N9" s="19"/>
      <c r="O9" s="30" t="str">
        <f>"47,5"</f>
        <v>47,5</v>
      </c>
      <c r="P9" s="19" t="str">
        <f>"53,9220"</f>
        <v>53,9220</v>
      </c>
      <c r="Q9" s="18" t="s">
        <v>1084</v>
      </c>
    </row>
    <row r="10" spans="1:17">
      <c r="B10" s="5" t="s">
        <v>30</v>
      </c>
    </row>
    <row r="11" spans="1:17" ht="16">
      <c r="A11" s="33" t="s">
        <v>45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>
      <c r="A12" s="17" t="s">
        <v>29</v>
      </c>
      <c r="B12" s="16" t="s">
        <v>1018</v>
      </c>
      <c r="C12" s="16" t="s">
        <v>1019</v>
      </c>
      <c r="D12" s="16" t="s">
        <v>632</v>
      </c>
      <c r="E12" s="16" t="s">
        <v>1509</v>
      </c>
      <c r="F12" s="16" t="s">
        <v>1403</v>
      </c>
      <c r="G12" s="22" t="s">
        <v>196</v>
      </c>
      <c r="H12" s="22" t="s">
        <v>197</v>
      </c>
      <c r="I12" s="22" t="s">
        <v>960</v>
      </c>
      <c r="J12" s="17"/>
      <c r="K12" s="22" t="s">
        <v>196</v>
      </c>
      <c r="L12" s="23" t="s">
        <v>197</v>
      </c>
      <c r="M12" s="22" t="s">
        <v>197</v>
      </c>
      <c r="N12" s="17"/>
      <c r="O12" s="29" t="str">
        <f>"91,0"</f>
        <v>91,0</v>
      </c>
      <c r="P12" s="17" t="str">
        <f>"92,4833"</f>
        <v>92,4833</v>
      </c>
      <c r="Q12" s="16" t="s">
        <v>232</v>
      </c>
    </row>
    <row r="13" spans="1:17">
      <c r="A13" s="21" t="s">
        <v>189</v>
      </c>
      <c r="B13" s="20" t="s">
        <v>269</v>
      </c>
      <c r="C13" s="20" t="s">
        <v>270</v>
      </c>
      <c r="D13" s="20" t="s">
        <v>271</v>
      </c>
      <c r="E13" s="20" t="s">
        <v>1509</v>
      </c>
      <c r="F13" s="20" t="s">
        <v>1409</v>
      </c>
      <c r="G13" s="26" t="s">
        <v>264</v>
      </c>
      <c r="H13" s="26" t="s">
        <v>244</v>
      </c>
      <c r="I13" s="26" t="s">
        <v>196</v>
      </c>
      <c r="J13" s="21"/>
      <c r="K13" s="26" t="s">
        <v>921</v>
      </c>
      <c r="L13" s="26" t="s">
        <v>948</v>
      </c>
      <c r="M13" s="27" t="s">
        <v>263</v>
      </c>
      <c r="N13" s="21"/>
      <c r="O13" s="32" t="str">
        <f>"75,0"</f>
        <v>75,0</v>
      </c>
      <c r="P13" s="21" t="str">
        <f>"74,5687"</f>
        <v>74,5687</v>
      </c>
      <c r="Q13" s="20" t="s">
        <v>315</v>
      </c>
    </row>
    <row r="14" spans="1:17">
      <c r="A14" s="21" t="s">
        <v>190</v>
      </c>
      <c r="B14" s="20" t="s">
        <v>967</v>
      </c>
      <c r="C14" s="20" t="s">
        <v>968</v>
      </c>
      <c r="D14" s="20" t="s">
        <v>959</v>
      </c>
      <c r="E14" s="20" t="s">
        <v>1509</v>
      </c>
      <c r="F14" s="20" t="s">
        <v>1402</v>
      </c>
      <c r="G14" s="26" t="s">
        <v>921</v>
      </c>
      <c r="H14" s="26" t="s">
        <v>948</v>
      </c>
      <c r="I14" s="27" t="s">
        <v>263</v>
      </c>
      <c r="J14" s="21"/>
      <c r="K14" s="27" t="s">
        <v>950</v>
      </c>
      <c r="L14" s="26" t="s">
        <v>950</v>
      </c>
      <c r="M14" s="26" t="s">
        <v>921</v>
      </c>
      <c r="N14" s="21"/>
      <c r="O14" s="32" t="str">
        <f>"62,5"</f>
        <v>62,5</v>
      </c>
      <c r="P14" s="21" t="str">
        <f>"62,3094"</f>
        <v>62,3094</v>
      </c>
      <c r="Q14" s="20" t="s">
        <v>623</v>
      </c>
    </row>
    <row r="15" spans="1:17">
      <c r="A15" s="21" t="s">
        <v>437</v>
      </c>
      <c r="B15" s="20" t="s">
        <v>1085</v>
      </c>
      <c r="C15" s="20" t="s">
        <v>1086</v>
      </c>
      <c r="D15" s="20" t="s">
        <v>1087</v>
      </c>
      <c r="E15" s="20" t="s">
        <v>1509</v>
      </c>
      <c r="F15" s="20" t="s">
        <v>1402</v>
      </c>
      <c r="G15" s="26" t="s">
        <v>952</v>
      </c>
      <c r="H15" s="26" t="s">
        <v>921</v>
      </c>
      <c r="I15" s="26" t="s">
        <v>948</v>
      </c>
      <c r="J15" s="21"/>
      <c r="K15" s="26" t="s">
        <v>950</v>
      </c>
      <c r="L15" s="27" t="s">
        <v>952</v>
      </c>
      <c r="M15" s="27" t="s">
        <v>921</v>
      </c>
      <c r="N15" s="21"/>
      <c r="O15" s="32" t="str">
        <f>"57,5"</f>
        <v>57,5</v>
      </c>
      <c r="P15" s="21" t="str">
        <f>"59,1790"</f>
        <v>59,1790</v>
      </c>
      <c r="Q15" s="20" t="s">
        <v>623</v>
      </c>
    </row>
    <row r="16" spans="1:17">
      <c r="A16" s="19" t="s">
        <v>29</v>
      </c>
      <c r="B16" s="18" t="s">
        <v>1088</v>
      </c>
      <c r="C16" s="18" t="s">
        <v>1218</v>
      </c>
      <c r="D16" s="18" t="s">
        <v>48</v>
      </c>
      <c r="E16" s="18" t="s">
        <v>1511</v>
      </c>
      <c r="F16" s="18" t="s">
        <v>1492</v>
      </c>
      <c r="G16" s="25" t="s">
        <v>244</v>
      </c>
      <c r="H16" s="24" t="s">
        <v>244</v>
      </c>
      <c r="I16" s="24" t="s">
        <v>196</v>
      </c>
      <c r="J16" s="19"/>
      <c r="K16" s="25" t="s">
        <v>952</v>
      </c>
      <c r="L16" s="24" t="s">
        <v>952</v>
      </c>
      <c r="M16" s="24" t="s">
        <v>921</v>
      </c>
      <c r="N16" s="19"/>
      <c r="O16" s="30" t="str">
        <f>"72,5"</f>
        <v>72,5</v>
      </c>
      <c r="P16" s="19" t="str">
        <f>"77,7165"</f>
        <v>77,7165</v>
      </c>
      <c r="Q16" s="18" t="s">
        <v>1089</v>
      </c>
    </row>
    <row r="17" spans="1:17">
      <c r="B17" s="5" t="s">
        <v>30</v>
      </c>
    </row>
    <row r="18" spans="1:17" ht="16">
      <c r="A18" s="33" t="s">
        <v>275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7">
      <c r="A19" s="8" t="s">
        <v>29</v>
      </c>
      <c r="B19" s="7" t="s">
        <v>1090</v>
      </c>
      <c r="C19" s="7" t="s">
        <v>1091</v>
      </c>
      <c r="D19" s="7" t="s">
        <v>1092</v>
      </c>
      <c r="E19" s="7" t="s">
        <v>1509</v>
      </c>
      <c r="F19" s="7" t="s">
        <v>1404</v>
      </c>
      <c r="G19" s="15" t="s">
        <v>952</v>
      </c>
      <c r="H19" s="15" t="s">
        <v>952</v>
      </c>
      <c r="I19" s="14" t="s">
        <v>952</v>
      </c>
      <c r="J19" s="8"/>
      <c r="K19" s="15" t="s">
        <v>947</v>
      </c>
      <c r="L19" s="14" t="s">
        <v>947</v>
      </c>
      <c r="M19" s="14" t="s">
        <v>949</v>
      </c>
      <c r="N19" s="8"/>
      <c r="O19" s="31" t="str">
        <f>"50,0"</f>
        <v>50,0</v>
      </c>
      <c r="P19" s="8" t="str">
        <f>"45,9425"</f>
        <v>45,9425</v>
      </c>
      <c r="Q19" s="7" t="s">
        <v>1093</v>
      </c>
    </row>
    <row r="20" spans="1:17">
      <c r="B20" s="5" t="s">
        <v>30</v>
      </c>
    </row>
    <row r="21" spans="1:17" ht="16">
      <c r="A21" s="33" t="s">
        <v>67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7">
      <c r="A22" s="8" t="s">
        <v>29</v>
      </c>
      <c r="B22" s="7" t="s">
        <v>969</v>
      </c>
      <c r="C22" s="7" t="s">
        <v>970</v>
      </c>
      <c r="D22" s="7" t="s">
        <v>70</v>
      </c>
      <c r="E22" s="7" t="s">
        <v>1509</v>
      </c>
      <c r="F22" s="7" t="s">
        <v>1402</v>
      </c>
      <c r="G22" s="14" t="s">
        <v>244</v>
      </c>
      <c r="H22" s="14" t="s">
        <v>196</v>
      </c>
      <c r="I22" s="8"/>
      <c r="J22" s="8"/>
      <c r="K22" s="14" t="s">
        <v>948</v>
      </c>
      <c r="L22" s="14" t="s">
        <v>263</v>
      </c>
      <c r="M22" s="15" t="s">
        <v>264</v>
      </c>
      <c r="N22" s="8"/>
      <c r="O22" s="31" t="str">
        <f>"77,5"</f>
        <v>77,5</v>
      </c>
      <c r="P22" s="8" t="str">
        <f>"65,2666"</f>
        <v>65,2666</v>
      </c>
      <c r="Q22" s="7" t="s">
        <v>623</v>
      </c>
    </row>
    <row r="23" spans="1:17">
      <c r="B23" s="5" t="s">
        <v>30</v>
      </c>
    </row>
    <row r="24" spans="1:17" ht="16">
      <c r="A24" s="33" t="s">
        <v>45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7">
      <c r="A25" s="8" t="s">
        <v>29</v>
      </c>
      <c r="B25" s="7" t="s">
        <v>859</v>
      </c>
      <c r="C25" s="7" t="s">
        <v>1219</v>
      </c>
      <c r="D25" s="7" t="s">
        <v>1026</v>
      </c>
      <c r="E25" s="7" t="s">
        <v>1508</v>
      </c>
      <c r="F25" s="7" t="s">
        <v>1410</v>
      </c>
      <c r="G25" s="14" t="s">
        <v>263</v>
      </c>
      <c r="H25" s="14" t="s">
        <v>264</v>
      </c>
      <c r="I25" s="14" t="s">
        <v>196</v>
      </c>
      <c r="J25" s="8"/>
      <c r="K25" s="14" t="s">
        <v>921</v>
      </c>
      <c r="L25" s="14" t="s">
        <v>264</v>
      </c>
      <c r="M25" s="14" t="s">
        <v>244</v>
      </c>
      <c r="N25" s="8"/>
      <c r="O25" s="31" t="str">
        <f>"82,5"</f>
        <v>82,5</v>
      </c>
      <c r="P25" s="8" t="str">
        <f>"70,2034"</f>
        <v>70,2034</v>
      </c>
      <c r="Q25" s="7" t="s">
        <v>279</v>
      </c>
    </row>
    <row r="26" spans="1:17">
      <c r="B26" s="5" t="s">
        <v>30</v>
      </c>
    </row>
    <row r="27" spans="1:17" ht="16">
      <c r="A27" s="33" t="s">
        <v>275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7">
      <c r="A28" s="8" t="s">
        <v>29</v>
      </c>
      <c r="B28" s="7" t="s">
        <v>1094</v>
      </c>
      <c r="C28" s="7" t="s">
        <v>1095</v>
      </c>
      <c r="D28" s="7" t="s">
        <v>953</v>
      </c>
      <c r="E28" s="7" t="s">
        <v>1509</v>
      </c>
      <c r="F28" s="7" t="s">
        <v>1493</v>
      </c>
      <c r="G28" s="14" t="s">
        <v>211</v>
      </c>
      <c r="H28" s="14" t="s">
        <v>212</v>
      </c>
      <c r="I28" s="14" t="s">
        <v>38</v>
      </c>
      <c r="J28" s="8"/>
      <c r="K28" s="14" t="s">
        <v>218</v>
      </c>
      <c r="L28" s="15" t="s">
        <v>219</v>
      </c>
      <c r="M28" s="15" t="s">
        <v>219</v>
      </c>
      <c r="N28" s="8"/>
      <c r="O28" s="31" t="str">
        <f>"112,5"</f>
        <v>112,5</v>
      </c>
      <c r="P28" s="8" t="str">
        <f>"86,2931"</f>
        <v>86,2931</v>
      </c>
      <c r="Q28" s="7" t="s">
        <v>315</v>
      </c>
    </row>
    <row r="29" spans="1:17">
      <c r="B29" s="5" t="s">
        <v>30</v>
      </c>
    </row>
    <row r="30" spans="1:17" ht="16">
      <c r="A30" s="33" t="s">
        <v>67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7">
      <c r="A31" s="8" t="s">
        <v>29</v>
      </c>
      <c r="B31" s="7" t="s">
        <v>1096</v>
      </c>
      <c r="C31" s="7" t="s">
        <v>1220</v>
      </c>
      <c r="D31" s="7" t="s">
        <v>1097</v>
      </c>
      <c r="E31" s="7" t="s">
        <v>1512</v>
      </c>
      <c r="F31" s="7" t="s">
        <v>1410</v>
      </c>
      <c r="G31" s="14" t="s">
        <v>212</v>
      </c>
      <c r="H31" s="14" t="s">
        <v>39</v>
      </c>
      <c r="I31" s="14" t="s">
        <v>171</v>
      </c>
      <c r="J31" s="8"/>
      <c r="K31" s="14" t="s">
        <v>197</v>
      </c>
      <c r="L31" s="14" t="s">
        <v>218</v>
      </c>
      <c r="M31" s="15" t="s">
        <v>212</v>
      </c>
      <c r="N31" s="8"/>
      <c r="O31" s="31" t="str">
        <f>"120,0"</f>
        <v>120,0</v>
      </c>
      <c r="P31" s="8" t="str">
        <f>"88,8240"</f>
        <v>88,8240</v>
      </c>
      <c r="Q31" s="7" t="s">
        <v>279</v>
      </c>
    </row>
    <row r="32" spans="1:17">
      <c r="B32" s="5" t="s">
        <v>30</v>
      </c>
    </row>
    <row r="33" spans="1:17" ht="16">
      <c r="A33" s="33" t="s">
        <v>79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7">
      <c r="A34" s="17" t="s">
        <v>29</v>
      </c>
      <c r="B34" s="16" t="s">
        <v>1098</v>
      </c>
      <c r="C34" s="16" t="s">
        <v>1099</v>
      </c>
      <c r="D34" s="16" t="s">
        <v>689</v>
      </c>
      <c r="E34" s="16" t="s">
        <v>1509</v>
      </c>
      <c r="F34" s="16" t="s">
        <v>1493</v>
      </c>
      <c r="G34" s="22" t="s">
        <v>51</v>
      </c>
      <c r="H34" s="22" t="s">
        <v>59</v>
      </c>
      <c r="I34" s="22" t="s">
        <v>204</v>
      </c>
      <c r="J34" s="17"/>
      <c r="K34" s="22" t="s">
        <v>236</v>
      </c>
      <c r="L34" s="22" t="s">
        <v>212</v>
      </c>
      <c r="M34" s="22" t="s">
        <v>38</v>
      </c>
      <c r="N34" s="17"/>
      <c r="O34" s="29" t="str">
        <f>"152,5"</f>
        <v>152,5</v>
      </c>
      <c r="P34" s="17" t="str">
        <f>"99,4071"</f>
        <v>99,4071</v>
      </c>
      <c r="Q34" s="16" t="s">
        <v>315</v>
      </c>
    </row>
    <row r="35" spans="1:17">
      <c r="A35" s="21" t="s">
        <v>189</v>
      </c>
      <c r="B35" s="20" t="s">
        <v>674</v>
      </c>
      <c r="C35" s="20" t="s">
        <v>675</v>
      </c>
      <c r="D35" s="20" t="s">
        <v>676</v>
      </c>
      <c r="E35" s="20" t="s">
        <v>1509</v>
      </c>
      <c r="F35" s="20" t="s">
        <v>1402</v>
      </c>
      <c r="G35" s="26" t="s">
        <v>245</v>
      </c>
      <c r="H35" s="26" t="s">
        <v>51</v>
      </c>
      <c r="I35" s="26" t="s">
        <v>52</v>
      </c>
      <c r="J35" s="21"/>
      <c r="K35" s="26" t="s">
        <v>211</v>
      </c>
      <c r="L35" s="26" t="s">
        <v>236</v>
      </c>
      <c r="M35" s="27" t="s">
        <v>38</v>
      </c>
      <c r="N35" s="21"/>
      <c r="O35" s="32" t="str">
        <f>"140,0"</f>
        <v>140,0</v>
      </c>
      <c r="P35" s="21" t="str">
        <f>"91,9380"</f>
        <v>91,9380</v>
      </c>
      <c r="Q35" s="20" t="s">
        <v>623</v>
      </c>
    </row>
    <row r="36" spans="1:17">
      <c r="A36" s="19" t="s">
        <v>29</v>
      </c>
      <c r="B36" s="18" t="s">
        <v>1100</v>
      </c>
      <c r="C36" s="18" t="s">
        <v>1101</v>
      </c>
      <c r="D36" s="18" t="s">
        <v>954</v>
      </c>
      <c r="E36" s="18" t="s">
        <v>1518</v>
      </c>
      <c r="F36" s="18" t="s">
        <v>1403</v>
      </c>
      <c r="G36" s="24" t="s">
        <v>218</v>
      </c>
      <c r="H36" s="24" t="s">
        <v>1102</v>
      </c>
      <c r="I36" s="24" t="s">
        <v>211</v>
      </c>
      <c r="J36" s="19"/>
      <c r="K36" s="24" t="s">
        <v>196</v>
      </c>
      <c r="L36" s="25" t="s">
        <v>1103</v>
      </c>
      <c r="M36" s="24" t="s">
        <v>223</v>
      </c>
      <c r="N36" s="25" t="s">
        <v>218</v>
      </c>
      <c r="O36" s="30" t="str">
        <f>"102,5"</f>
        <v>102,5</v>
      </c>
      <c r="P36" s="19" t="str">
        <f>"128,2569"</f>
        <v>128,2569</v>
      </c>
      <c r="Q36" s="18" t="s">
        <v>658</v>
      </c>
    </row>
    <row r="37" spans="1:17">
      <c r="B37" s="5" t="s">
        <v>30</v>
      </c>
    </row>
    <row r="38" spans="1:17" ht="16">
      <c r="A38" s="33" t="s">
        <v>98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7">
      <c r="A39" s="17" t="s">
        <v>29</v>
      </c>
      <c r="B39" s="16" t="s">
        <v>354</v>
      </c>
      <c r="C39" s="16" t="s">
        <v>355</v>
      </c>
      <c r="D39" s="16" t="s">
        <v>356</v>
      </c>
      <c r="E39" s="16" t="s">
        <v>1509</v>
      </c>
      <c r="F39" s="16" t="s">
        <v>1419</v>
      </c>
      <c r="G39" s="22" t="s">
        <v>51</v>
      </c>
      <c r="H39" s="22" t="s">
        <v>204</v>
      </c>
      <c r="I39" s="23" t="s">
        <v>49</v>
      </c>
      <c r="J39" s="17"/>
      <c r="K39" s="22" t="s">
        <v>39</v>
      </c>
      <c r="L39" s="23" t="s">
        <v>171</v>
      </c>
      <c r="M39" s="23" t="s">
        <v>171</v>
      </c>
      <c r="N39" s="17"/>
      <c r="O39" s="29" t="str">
        <f>"155,0"</f>
        <v>155,0</v>
      </c>
      <c r="P39" s="17" t="str">
        <f>"94,8987"</f>
        <v>94,8987</v>
      </c>
      <c r="Q39" s="16" t="s">
        <v>315</v>
      </c>
    </row>
    <row r="40" spans="1:17">
      <c r="A40" s="21" t="s">
        <v>191</v>
      </c>
      <c r="B40" s="20" t="s">
        <v>1057</v>
      </c>
      <c r="C40" s="20" t="s">
        <v>1058</v>
      </c>
      <c r="D40" s="20" t="s">
        <v>448</v>
      </c>
      <c r="E40" s="20" t="s">
        <v>1509</v>
      </c>
      <c r="F40" s="20" t="s">
        <v>1404</v>
      </c>
      <c r="G40" s="27" t="s">
        <v>51</v>
      </c>
      <c r="H40" s="27" t="s">
        <v>51</v>
      </c>
      <c r="I40" s="27" t="s">
        <v>51</v>
      </c>
      <c r="J40" s="21"/>
      <c r="K40" s="21"/>
      <c r="L40" s="27"/>
      <c r="M40" s="21"/>
      <c r="N40" s="21"/>
      <c r="O40" s="32">
        <v>0</v>
      </c>
      <c r="P40" s="21" t="str">
        <f>"0,0000"</f>
        <v>0,0000</v>
      </c>
      <c r="Q40" s="20" t="s">
        <v>1348</v>
      </c>
    </row>
    <row r="41" spans="1:17">
      <c r="A41" s="19" t="s">
        <v>29</v>
      </c>
      <c r="B41" s="18" t="s">
        <v>929</v>
      </c>
      <c r="C41" s="18" t="s">
        <v>1221</v>
      </c>
      <c r="D41" s="18" t="s">
        <v>448</v>
      </c>
      <c r="E41" s="18" t="s">
        <v>1511</v>
      </c>
      <c r="F41" s="18" t="s">
        <v>1448</v>
      </c>
      <c r="G41" s="24" t="s">
        <v>59</v>
      </c>
      <c r="H41" s="24" t="s">
        <v>204</v>
      </c>
      <c r="I41" s="25" t="s">
        <v>252</v>
      </c>
      <c r="J41" s="19"/>
      <c r="K41" s="24" t="s">
        <v>40</v>
      </c>
      <c r="L41" s="25" t="s">
        <v>283</v>
      </c>
      <c r="M41" s="25" t="s">
        <v>283</v>
      </c>
      <c r="N41" s="19"/>
      <c r="O41" s="30" t="str">
        <f>"157,5"</f>
        <v>157,5</v>
      </c>
      <c r="P41" s="19" t="str">
        <f>"102,2398"</f>
        <v>102,2398</v>
      </c>
      <c r="Q41" s="18" t="s">
        <v>315</v>
      </c>
    </row>
    <row r="42" spans="1:17">
      <c r="B42" s="5" t="s">
        <v>30</v>
      </c>
    </row>
    <row r="43" spans="1:17" ht="16">
      <c r="A43" s="33" t="s">
        <v>122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7">
      <c r="A44" s="17" t="s">
        <v>29</v>
      </c>
      <c r="B44" s="16" t="s">
        <v>1104</v>
      </c>
      <c r="C44" s="16" t="s">
        <v>1105</v>
      </c>
      <c r="D44" s="16" t="s">
        <v>1106</v>
      </c>
      <c r="E44" s="16" t="s">
        <v>1509</v>
      </c>
      <c r="F44" s="16" t="s">
        <v>1494</v>
      </c>
      <c r="G44" s="22" t="s">
        <v>35</v>
      </c>
      <c r="H44" s="23" t="s">
        <v>198</v>
      </c>
      <c r="I44" s="22" t="s">
        <v>198</v>
      </c>
      <c r="J44" s="17"/>
      <c r="K44" s="22" t="s">
        <v>171</v>
      </c>
      <c r="L44" s="22" t="s">
        <v>283</v>
      </c>
      <c r="M44" s="22" t="s">
        <v>50</v>
      </c>
      <c r="N44" s="17"/>
      <c r="O44" s="29" t="str">
        <f>"177,5"</f>
        <v>177,5</v>
      </c>
      <c r="P44" s="17" t="str">
        <f>"106,4379"</f>
        <v>106,4379</v>
      </c>
      <c r="Q44" s="16" t="s">
        <v>315</v>
      </c>
    </row>
    <row r="45" spans="1:17">
      <c r="A45" s="19" t="s">
        <v>191</v>
      </c>
      <c r="B45" s="18" t="s">
        <v>1107</v>
      </c>
      <c r="C45" s="18" t="s">
        <v>1108</v>
      </c>
      <c r="D45" s="18" t="s">
        <v>1109</v>
      </c>
      <c r="E45" s="18" t="s">
        <v>1509</v>
      </c>
      <c r="F45" s="18" t="s">
        <v>1403</v>
      </c>
      <c r="G45" s="25" t="s">
        <v>171</v>
      </c>
      <c r="H45" s="25" t="s">
        <v>59</v>
      </c>
      <c r="I45" s="25" t="s">
        <v>59</v>
      </c>
      <c r="J45" s="19"/>
      <c r="K45" s="25"/>
      <c r="L45" s="19"/>
      <c r="M45" s="19"/>
      <c r="N45" s="19"/>
      <c r="O45" s="30">
        <v>0</v>
      </c>
      <c r="P45" s="19" t="str">
        <f>"0,0000"</f>
        <v>0,0000</v>
      </c>
      <c r="Q45" s="18" t="s">
        <v>315</v>
      </c>
    </row>
    <row r="46" spans="1:17">
      <c r="B46" s="5" t="s">
        <v>30</v>
      </c>
    </row>
    <row r="47" spans="1:17" ht="16">
      <c r="A47" s="33" t="s">
        <v>10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17">
      <c r="A48" s="17" t="s">
        <v>29</v>
      </c>
      <c r="B48" s="16" t="s">
        <v>396</v>
      </c>
      <c r="C48" s="16" t="s">
        <v>397</v>
      </c>
      <c r="D48" s="16" t="s">
        <v>398</v>
      </c>
      <c r="E48" s="16" t="s">
        <v>1509</v>
      </c>
      <c r="F48" s="16" t="s">
        <v>1424</v>
      </c>
      <c r="G48" s="23" t="s">
        <v>204</v>
      </c>
      <c r="H48" s="22" t="s">
        <v>204</v>
      </c>
      <c r="I48" s="22" t="s">
        <v>49</v>
      </c>
      <c r="J48" s="17"/>
      <c r="K48" s="22" t="s">
        <v>171</v>
      </c>
      <c r="L48" s="22" t="s">
        <v>51</v>
      </c>
      <c r="M48" s="23" t="s">
        <v>59</v>
      </c>
      <c r="N48" s="17"/>
      <c r="O48" s="29" t="str">
        <f>"175,0"</f>
        <v>175,0</v>
      </c>
      <c r="P48" s="17" t="str">
        <f>"98,5425"</f>
        <v>98,5425</v>
      </c>
      <c r="Q48" s="16" t="s">
        <v>315</v>
      </c>
    </row>
    <row r="49" spans="1:17">
      <c r="A49" s="19" t="s">
        <v>189</v>
      </c>
      <c r="B49" s="18" t="s">
        <v>1110</v>
      </c>
      <c r="C49" s="18" t="s">
        <v>93</v>
      </c>
      <c r="D49" s="18" t="s">
        <v>1111</v>
      </c>
      <c r="E49" s="18" t="s">
        <v>1509</v>
      </c>
      <c r="F49" s="18" t="s">
        <v>1410</v>
      </c>
      <c r="G49" s="24" t="s">
        <v>245</v>
      </c>
      <c r="H49" s="24" t="s">
        <v>52</v>
      </c>
      <c r="I49" s="25" t="s">
        <v>204</v>
      </c>
      <c r="J49" s="19"/>
      <c r="K49" s="24" t="s">
        <v>212</v>
      </c>
      <c r="L49" s="24" t="s">
        <v>39</v>
      </c>
      <c r="M49" s="25" t="s">
        <v>171</v>
      </c>
      <c r="N49" s="19"/>
      <c r="O49" s="30" t="str">
        <f>"147,5"</f>
        <v>147,5</v>
      </c>
      <c r="P49" s="19" t="str">
        <f>"85,1960"</f>
        <v>85,1960</v>
      </c>
      <c r="Q49" s="18" t="s">
        <v>279</v>
      </c>
    </row>
    <row r="50" spans="1:17">
      <c r="B50" s="5" t="s">
        <v>30</v>
      </c>
    </row>
    <row r="51" spans="1:17">
      <c r="B51" s="5" t="s">
        <v>30</v>
      </c>
    </row>
    <row r="52" spans="1:17">
      <c r="B52" s="5" t="s">
        <v>30</v>
      </c>
    </row>
    <row r="53" spans="1:17" ht="18">
      <c r="B53" s="9" t="s">
        <v>20</v>
      </c>
      <c r="C53" s="9"/>
      <c r="F53" s="3"/>
    </row>
    <row r="54" spans="1:17" ht="16">
      <c r="B54" s="10" t="s">
        <v>172</v>
      </c>
      <c r="C54" s="10"/>
      <c r="F54" s="3"/>
    </row>
    <row r="55" spans="1:17" ht="14">
      <c r="B55" s="11"/>
      <c r="C55" s="12" t="s">
        <v>175</v>
      </c>
      <c r="F55" s="3"/>
    </row>
    <row r="56" spans="1:17" ht="14">
      <c r="B56" s="13" t="s">
        <v>23</v>
      </c>
      <c r="C56" s="13" t="s">
        <v>24</v>
      </c>
      <c r="D56" s="13" t="s">
        <v>1347</v>
      </c>
      <c r="E56" s="13" t="s">
        <v>26</v>
      </c>
      <c r="F56" s="13" t="s">
        <v>943</v>
      </c>
    </row>
    <row r="57" spans="1:17">
      <c r="B57" s="5" t="s">
        <v>227</v>
      </c>
      <c r="C57" s="5" t="s">
        <v>175</v>
      </c>
      <c r="D57" s="6" t="s">
        <v>418</v>
      </c>
      <c r="E57" s="6" t="s">
        <v>1112</v>
      </c>
      <c r="F57" s="6" t="s">
        <v>1113</v>
      </c>
    </row>
    <row r="58" spans="1:17">
      <c r="B58" s="5" t="s">
        <v>1018</v>
      </c>
      <c r="C58" s="5" t="s">
        <v>175</v>
      </c>
      <c r="D58" s="6" t="s">
        <v>173</v>
      </c>
      <c r="E58" s="6" t="s">
        <v>1112</v>
      </c>
      <c r="F58" s="6" t="s">
        <v>1114</v>
      </c>
    </row>
    <row r="59" spans="1:17">
      <c r="B59" s="5" t="s">
        <v>269</v>
      </c>
      <c r="C59" s="5" t="s">
        <v>175</v>
      </c>
      <c r="D59" s="6" t="s">
        <v>173</v>
      </c>
      <c r="E59" s="6" t="s">
        <v>50</v>
      </c>
      <c r="F59" s="6" t="s">
        <v>1115</v>
      </c>
    </row>
    <row r="61" spans="1:17" ht="16">
      <c r="B61" s="10" t="s">
        <v>21</v>
      </c>
      <c r="C61" s="10"/>
    </row>
    <row r="62" spans="1:17" ht="14">
      <c r="B62" s="11"/>
      <c r="C62" s="12" t="s">
        <v>175</v>
      </c>
    </row>
    <row r="63" spans="1:17" ht="14">
      <c r="B63" s="13" t="s">
        <v>23</v>
      </c>
      <c r="C63" s="13" t="s">
        <v>24</v>
      </c>
      <c r="D63" s="13" t="s">
        <v>1347</v>
      </c>
      <c r="E63" s="13" t="s">
        <v>26</v>
      </c>
      <c r="F63" s="13" t="s">
        <v>943</v>
      </c>
    </row>
    <row r="64" spans="1:17">
      <c r="B64" s="5" t="s">
        <v>1104</v>
      </c>
      <c r="C64" s="5" t="s">
        <v>175</v>
      </c>
      <c r="D64" s="6" t="s">
        <v>179</v>
      </c>
      <c r="E64" s="6" t="s">
        <v>73</v>
      </c>
      <c r="F64" s="6" t="s">
        <v>1116</v>
      </c>
    </row>
    <row r="65" spans="2:6">
      <c r="B65" s="5" t="s">
        <v>1098</v>
      </c>
      <c r="C65" s="5" t="s">
        <v>175</v>
      </c>
      <c r="D65" s="6" t="s">
        <v>182</v>
      </c>
      <c r="E65" s="6" t="s">
        <v>134</v>
      </c>
      <c r="F65" s="6" t="s">
        <v>1117</v>
      </c>
    </row>
    <row r="66" spans="2:6">
      <c r="B66" s="5" t="s">
        <v>396</v>
      </c>
      <c r="C66" s="5" t="s">
        <v>175</v>
      </c>
      <c r="D66" s="6" t="s">
        <v>28</v>
      </c>
      <c r="E66" s="6" t="s">
        <v>85</v>
      </c>
      <c r="F66" s="6" t="s">
        <v>1118</v>
      </c>
    </row>
  </sheetData>
  <mergeCells count="23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33:N33"/>
    <mergeCell ref="A38:N38"/>
    <mergeCell ref="A43:N43"/>
    <mergeCell ref="A47:N47"/>
    <mergeCell ref="B3:B4"/>
    <mergeCell ref="A11:N11"/>
    <mergeCell ref="A18:N18"/>
    <mergeCell ref="A21:N21"/>
    <mergeCell ref="A24:N24"/>
    <mergeCell ref="A27:N27"/>
    <mergeCell ref="A30:N3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21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33203125" style="5" customWidth="1"/>
    <col min="7" max="14" width="5.5" style="6" customWidth="1"/>
    <col min="15" max="15" width="7.83203125" style="6" bestFit="1" customWidth="1"/>
    <col min="16" max="16" width="8.5" style="6" bestFit="1" customWidth="1"/>
    <col min="17" max="17" width="20.5" style="5" customWidth="1"/>
    <col min="18" max="16384" width="9.1640625" style="3"/>
  </cols>
  <sheetData>
    <row r="1" spans="1:17" s="2" customFormat="1" ht="29" customHeight="1">
      <c r="A1" s="44" t="s">
        <v>1341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1503</v>
      </c>
      <c r="H3" s="38"/>
      <c r="I3" s="38"/>
      <c r="J3" s="38"/>
      <c r="K3" s="38" t="s">
        <v>1504</v>
      </c>
      <c r="L3" s="38"/>
      <c r="M3" s="38"/>
      <c r="N3" s="38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ht="16">
      <c r="A5" s="42" t="s">
        <v>79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17" t="s">
        <v>29</v>
      </c>
      <c r="B6" s="16" t="s">
        <v>980</v>
      </c>
      <c r="C6" s="16" t="s">
        <v>981</v>
      </c>
      <c r="D6" s="16" t="s">
        <v>679</v>
      </c>
      <c r="E6" s="16" t="s">
        <v>1509</v>
      </c>
      <c r="F6" s="16" t="s">
        <v>1404</v>
      </c>
      <c r="G6" s="23" t="s">
        <v>36</v>
      </c>
      <c r="H6" s="22" t="s">
        <v>36</v>
      </c>
      <c r="I6" s="22" t="s">
        <v>37</v>
      </c>
      <c r="J6" s="17"/>
      <c r="K6" s="22" t="s">
        <v>252</v>
      </c>
      <c r="L6" s="22" t="s">
        <v>210</v>
      </c>
      <c r="M6" s="22" t="s">
        <v>35</v>
      </c>
      <c r="N6" s="17"/>
      <c r="O6" s="17" t="str">
        <f>"210,0"</f>
        <v>210,0</v>
      </c>
      <c r="P6" s="17" t="str">
        <f>"139,0935"</f>
        <v>139,0935</v>
      </c>
      <c r="Q6" s="16" t="s">
        <v>315</v>
      </c>
    </row>
    <row r="7" spans="1:17">
      <c r="A7" s="19" t="s">
        <v>189</v>
      </c>
      <c r="B7" s="18" t="s">
        <v>1071</v>
      </c>
      <c r="C7" s="18" t="s">
        <v>1072</v>
      </c>
      <c r="D7" s="18" t="s">
        <v>1073</v>
      </c>
      <c r="E7" s="18" t="s">
        <v>1509</v>
      </c>
      <c r="F7" s="18" t="s">
        <v>1403</v>
      </c>
      <c r="G7" s="25" t="s">
        <v>39</v>
      </c>
      <c r="H7" s="24" t="s">
        <v>39</v>
      </c>
      <c r="I7" s="24" t="s">
        <v>171</v>
      </c>
      <c r="J7" s="19"/>
      <c r="K7" s="24" t="s">
        <v>211</v>
      </c>
      <c r="L7" s="24" t="s">
        <v>212</v>
      </c>
      <c r="M7" s="24" t="s">
        <v>39</v>
      </c>
      <c r="N7" s="19"/>
      <c r="O7" s="19" t="str">
        <f>"135,0"</f>
        <v>135,0</v>
      </c>
      <c r="P7" s="19" t="str">
        <f>"91,5300"</f>
        <v>91,5300</v>
      </c>
      <c r="Q7" s="18" t="s">
        <v>1349</v>
      </c>
    </row>
    <row r="8" spans="1:17">
      <c r="B8" s="5" t="s">
        <v>30</v>
      </c>
    </row>
    <row r="9" spans="1:17" ht="16">
      <c r="A9" s="33" t="s">
        <v>98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7">
      <c r="A10" s="17" t="s">
        <v>29</v>
      </c>
      <c r="B10" s="16" t="s">
        <v>1074</v>
      </c>
      <c r="C10" s="16" t="s">
        <v>1075</v>
      </c>
      <c r="D10" s="16" t="s">
        <v>1076</v>
      </c>
      <c r="E10" s="16" t="s">
        <v>1509</v>
      </c>
      <c r="F10" s="16" t="s">
        <v>1402</v>
      </c>
      <c r="G10" s="22" t="s">
        <v>213</v>
      </c>
      <c r="H10" s="22" t="s">
        <v>58</v>
      </c>
      <c r="I10" s="22" t="s">
        <v>230</v>
      </c>
      <c r="J10" s="17"/>
      <c r="K10" s="22" t="s">
        <v>51</v>
      </c>
      <c r="L10" s="22" t="s">
        <v>52</v>
      </c>
      <c r="M10" s="22" t="s">
        <v>59</v>
      </c>
      <c r="N10" s="17"/>
      <c r="O10" s="17" t="str">
        <f>"207,5"</f>
        <v>207,5</v>
      </c>
      <c r="P10" s="17" t="str">
        <f>"128,6708"</f>
        <v>128,6708</v>
      </c>
      <c r="Q10" s="16" t="s">
        <v>1077</v>
      </c>
    </row>
    <row r="11" spans="1:17">
      <c r="A11" s="21" t="s">
        <v>189</v>
      </c>
      <c r="B11" s="20" t="s">
        <v>910</v>
      </c>
      <c r="C11" s="20" t="s">
        <v>911</v>
      </c>
      <c r="D11" s="20" t="s">
        <v>912</v>
      </c>
      <c r="E11" s="20" t="s">
        <v>1509</v>
      </c>
      <c r="F11" s="20" t="s">
        <v>913</v>
      </c>
      <c r="G11" s="26" t="s">
        <v>37</v>
      </c>
      <c r="H11" s="26" t="s">
        <v>213</v>
      </c>
      <c r="I11" s="27" t="s">
        <v>58</v>
      </c>
      <c r="J11" s="21"/>
      <c r="K11" s="26" t="s">
        <v>171</v>
      </c>
      <c r="L11" s="26" t="s">
        <v>50</v>
      </c>
      <c r="M11" s="27" t="s">
        <v>245</v>
      </c>
      <c r="N11" s="21"/>
      <c r="O11" s="21" t="str">
        <f>"190,0"</f>
        <v>190,0</v>
      </c>
      <c r="P11" s="21" t="str">
        <f>"116,9830"</f>
        <v>116,9830</v>
      </c>
      <c r="Q11" s="20" t="s">
        <v>315</v>
      </c>
    </row>
    <row r="12" spans="1:17">
      <c r="A12" s="19" t="s">
        <v>190</v>
      </c>
      <c r="B12" s="18" t="s">
        <v>963</v>
      </c>
      <c r="C12" s="18" t="s">
        <v>964</v>
      </c>
      <c r="D12" s="18" t="s">
        <v>871</v>
      </c>
      <c r="E12" s="18" t="s">
        <v>1509</v>
      </c>
      <c r="F12" s="18" t="s">
        <v>965</v>
      </c>
      <c r="G12" s="24" t="s">
        <v>171</v>
      </c>
      <c r="H12" s="24" t="s">
        <v>283</v>
      </c>
      <c r="I12" s="25" t="s">
        <v>50</v>
      </c>
      <c r="J12" s="19"/>
      <c r="K12" s="24" t="s">
        <v>171</v>
      </c>
      <c r="L12" s="25" t="s">
        <v>283</v>
      </c>
      <c r="M12" s="25" t="s">
        <v>283</v>
      </c>
      <c r="N12" s="19"/>
      <c r="O12" s="19" t="str">
        <f>"142,5"</f>
        <v>142,5</v>
      </c>
      <c r="P12" s="19" t="str">
        <f>"87,7871"</f>
        <v>87,7871</v>
      </c>
      <c r="Q12" s="18" t="s">
        <v>966</v>
      </c>
    </row>
    <row r="13" spans="1:17">
      <c r="B13" s="5" t="s">
        <v>30</v>
      </c>
    </row>
    <row r="14" spans="1:17" ht="16">
      <c r="A14" s="33" t="s">
        <v>122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7">
      <c r="A15" s="17" t="s">
        <v>29</v>
      </c>
      <c r="B15" s="16" t="s">
        <v>812</v>
      </c>
      <c r="C15" s="16" t="s">
        <v>1208</v>
      </c>
      <c r="D15" s="16" t="s">
        <v>62</v>
      </c>
      <c r="E15" s="16" t="s">
        <v>1511</v>
      </c>
      <c r="F15" s="16" t="s">
        <v>1403</v>
      </c>
      <c r="G15" s="22" t="s">
        <v>35</v>
      </c>
      <c r="H15" s="23" t="s">
        <v>230</v>
      </c>
      <c r="I15" s="23" t="s">
        <v>230</v>
      </c>
      <c r="J15" s="17"/>
      <c r="K15" s="22" t="s">
        <v>212</v>
      </c>
      <c r="L15" s="23" t="s">
        <v>50</v>
      </c>
      <c r="M15" s="23" t="s">
        <v>50</v>
      </c>
      <c r="N15" s="17"/>
      <c r="O15" s="17" t="str">
        <f>"160,0"</f>
        <v>160,0</v>
      </c>
      <c r="P15" s="17" t="str">
        <f>"99,8879"</f>
        <v>99,8879</v>
      </c>
      <c r="Q15" s="16" t="s">
        <v>813</v>
      </c>
    </row>
    <row r="16" spans="1:17">
      <c r="A16" s="19" t="s">
        <v>189</v>
      </c>
      <c r="B16" s="18" t="s">
        <v>1078</v>
      </c>
      <c r="C16" s="18" t="s">
        <v>1222</v>
      </c>
      <c r="D16" s="18" t="s">
        <v>391</v>
      </c>
      <c r="E16" s="18" t="s">
        <v>1511</v>
      </c>
      <c r="F16" s="18" t="s">
        <v>1495</v>
      </c>
      <c r="G16" s="24" t="s">
        <v>59</v>
      </c>
      <c r="H16" s="25" t="s">
        <v>204</v>
      </c>
      <c r="I16" s="25" t="s">
        <v>204</v>
      </c>
      <c r="J16" s="19"/>
      <c r="K16" s="24" t="s">
        <v>218</v>
      </c>
      <c r="L16" s="24" t="s">
        <v>211</v>
      </c>
      <c r="M16" s="25" t="s">
        <v>212</v>
      </c>
      <c r="N16" s="19"/>
      <c r="O16" s="19" t="str">
        <f>"140,0"</f>
        <v>140,0</v>
      </c>
      <c r="P16" s="19" t="str">
        <f>"86,4803"</f>
        <v>86,4803</v>
      </c>
      <c r="Q16" s="18" t="s">
        <v>1079</v>
      </c>
    </row>
    <row r="17" spans="1:17">
      <c r="B17" s="5" t="s">
        <v>30</v>
      </c>
    </row>
    <row r="18" spans="1:17" ht="16">
      <c r="A18" s="33" t="s">
        <v>148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7">
      <c r="A19" s="17" t="s">
        <v>29</v>
      </c>
      <c r="B19" s="16" t="s">
        <v>1006</v>
      </c>
      <c r="C19" s="16" t="s">
        <v>1007</v>
      </c>
      <c r="D19" s="16" t="s">
        <v>751</v>
      </c>
      <c r="E19" s="16" t="s">
        <v>1509</v>
      </c>
      <c r="F19" s="16" t="s">
        <v>1403</v>
      </c>
      <c r="G19" s="22" t="s">
        <v>58</v>
      </c>
      <c r="H19" s="22" t="s">
        <v>214</v>
      </c>
      <c r="I19" s="22" t="s">
        <v>41</v>
      </c>
      <c r="J19" s="17"/>
      <c r="K19" s="22" t="s">
        <v>51</v>
      </c>
      <c r="L19" s="22" t="s">
        <v>59</v>
      </c>
      <c r="M19" s="22" t="s">
        <v>204</v>
      </c>
      <c r="N19" s="17"/>
      <c r="O19" s="17" t="str">
        <f>"220,0"</f>
        <v>220,0</v>
      </c>
      <c r="P19" s="17" t="str">
        <f>"122,7930"</f>
        <v>122,7930</v>
      </c>
      <c r="Q19" s="16" t="s">
        <v>315</v>
      </c>
    </row>
    <row r="20" spans="1:17">
      <c r="A20" s="19" t="s">
        <v>29</v>
      </c>
      <c r="B20" s="18" t="s">
        <v>1006</v>
      </c>
      <c r="C20" s="18" t="s">
        <v>1223</v>
      </c>
      <c r="D20" s="18" t="s">
        <v>751</v>
      </c>
      <c r="E20" s="18" t="s">
        <v>1511</v>
      </c>
      <c r="F20" s="18" t="s">
        <v>1403</v>
      </c>
      <c r="G20" s="24" t="s">
        <v>58</v>
      </c>
      <c r="H20" s="24" t="s">
        <v>214</v>
      </c>
      <c r="I20" s="24" t="s">
        <v>41</v>
      </c>
      <c r="J20" s="19"/>
      <c r="K20" s="24" t="s">
        <v>51</v>
      </c>
      <c r="L20" s="24" t="s">
        <v>59</v>
      </c>
      <c r="M20" s="24" t="s">
        <v>204</v>
      </c>
      <c r="N20" s="19"/>
      <c r="O20" s="19" t="str">
        <f>"220,0"</f>
        <v>220,0</v>
      </c>
      <c r="P20" s="19" t="str">
        <f>"124,0209"</f>
        <v>124,0209</v>
      </c>
      <c r="Q20" s="18" t="s">
        <v>315</v>
      </c>
    </row>
    <row r="21" spans="1:17">
      <c r="B21" s="5" t="s">
        <v>30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A14:N14"/>
    <mergeCell ref="A18:N18"/>
    <mergeCell ref="B3:B4"/>
    <mergeCell ref="O3:O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1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4" t="s">
        <v>1344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962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45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29</v>
      </c>
      <c r="B6" s="16" t="s">
        <v>269</v>
      </c>
      <c r="C6" s="16" t="s">
        <v>270</v>
      </c>
      <c r="D6" s="16" t="s">
        <v>271</v>
      </c>
      <c r="E6" s="16" t="s">
        <v>1509</v>
      </c>
      <c r="F6" s="16" t="s">
        <v>1409</v>
      </c>
      <c r="G6" s="22" t="s">
        <v>264</v>
      </c>
      <c r="H6" s="22" t="s">
        <v>244</v>
      </c>
      <c r="I6" s="22" t="s">
        <v>196</v>
      </c>
      <c r="J6" s="17"/>
      <c r="K6" s="17" t="str">
        <f>"42,5"</f>
        <v>42,5</v>
      </c>
      <c r="L6" s="17" t="str">
        <f>"42,2556"</f>
        <v>42,2556</v>
      </c>
      <c r="M6" s="16" t="s">
        <v>315</v>
      </c>
    </row>
    <row r="7" spans="1:13">
      <c r="A7" s="19" t="s">
        <v>189</v>
      </c>
      <c r="B7" s="18" t="s">
        <v>967</v>
      </c>
      <c r="C7" s="18" t="s">
        <v>968</v>
      </c>
      <c r="D7" s="18" t="s">
        <v>959</v>
      </c>
      <c r="E7" s="18" t="s">
        <v>1509</v>
      </c>
      <c r="F7" s="18" t="s">
        <v>1402</v>
      </c>
      <c r="G7" s="24" t="s">
        <v>921</v>
      </c>
      <c r="H7" s="24" t="s">
        <v>948</v>
      </c>
      <c r="I7" s="25" t="s">
        <v>263</v>
      </c>
      <c r="J7" s="19"/>
      <c r="K7" s="19" t="str">
        <f>"32,5"</f>
        <v>32,5</v>
      </c>
      <c r="L7" s="19" t="str">
        <f>"32,4009"</f>
        <v>32,4009</v>
      </c>
      <c r="M7" s="18" t="s">
        <v>623</v>
      </c>
    </row>
    <row r="8" spans="1:13">
      <c r="B8" s="5" t="s">
        <v>30</v>
      </c>
    </row>
    <row r="9" spans="1:13" ht="16">
      <c r="A9" s="33" t="s">
        <v>67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8" t="s">
        <v>29</v>
      </c>
      <c r="B10" s="7" t="s">
        <v>969</v>
      </c>
      <c r="C10" s="7" t="s">
        <v>970</v>
      </c>
      <c r="D10" s="7" t="s">
        <v>70</v>
      </c>
      <c r="E10" s="7" t="s">
        <v>1509</v>
      </c>
      <c r="F10" s="7" t="s">
        <v>1402</v>
      </c>
      <c r="G10" s="14" t="s">
        <v>244</v>
      </c>
      <c r="H10" s="14" t="s">
        <v>196</v>
      </c>
      <c r="I10" s="8"/>
      <c r="J10" s="8"/>
      <c r="K10" s="8" t="str">
        <f>"42,5"</f>
        <v>42,5</v>
      </c>
      <c r="L10" s="8" t="str">
        <f>"35,7914"</f>
        <v>35,7914</v>
      </c>
      <c r="M10" s="7" t="s">
        <v>623</v>
      </c>
    </row>
    <row r="11" spans="1:13">
      <c r="B11" s="5" t="s">
        <v>30</v>
      </c>
    </row>
    <row r="12" spans="1:13" ht="16">
      <c r="A12" s="33" t="s">
        <v>79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29</v>
      </c>
      <c r="B13" s="7" t="s">
        <v>674</v>
      </c>
      <c r="C13" s="7" t="s">
        <v>675</v>
      </c>
      <c r="D13" s="7" t="s">
        <v>676</v>
      </c>
      <c r="E13" s="7" t="s">
        <v>1509</v>
      </c>
      <c r="F13" s="7" t="s">
        <v>1402</v>
      </c>
      <c r="G13" s="14" t="s">
        <v>245</v>
      </c>
      <c r="H13" s="14" t="s">
        <v>51</v>
      </c>
      <c r="I13" s="14" t="s">
        <v>52</v>
      </c>
      <c r="J13" s="8"/>
      <c r="K13" s="8" t="str">
        <f>"82,5"</f>
        <v>82,5</v>
      </c>
      <c r="L13" s="8" t="str">
        <f>"54,1778"</f>
        <v>54,1778</v>
      </c>
      <c r="M13" s="7" t="s">
        <v>623</v>
      </c>
    </row>
    <row r="14" spans="1:13">
      <c r="B14" s="5" t="s">
        <v>30</v>
      </c>
    </row>
    <row r="15" spans="1:13" ht="16">
      <c r="A15" s="33" t="s">
        <v>98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8" t="s">
        <v>29</v>
      </c>
      <c r="B16" s="7" t="s">
        <v>929</v>
      </c>
      <c r="C16" s="7" t="s">
        <v>1221</v>
      </c>
      <c r="D16" s="7" t="s">
        <v>448</v>
      </c>
      <c r="E16" s="7" t="s">
        <v>1511</v>
      </c>
      <c r="F16" s="7" t="s">
        <v>1448</v>
      </c>
      <c r="G16" s="14" t="s">
        <v>59</v>
      </c>
      <c r="H16" s="14" t="s">
        <v>204</v>
      </c>
      <c r="I16" s="15" t="s">
        <v>252</v>
      </c>
      <c r="J16" s="8"/>
      <c r="K16" s="8" t="str">
        <f>"90,0"</f>
        <v>90,0</v>
      </c>
      <c r="L16" s="8" t="str">
        <f>"58,4227"</f>
        <v>58,4227</v>
      </c>
      <c r="M16" s="7" t="s">
        <v>315</v>
      </c>
    </row>
    <row r="17" spans="1:13">
      <c r="B17" s="5" t="s">
        <v>30</v>
      </c>
    </row>
    <row r="18" spans="1:13" ht="16">
      <c r="A18" s="33" t="s">
        <v>10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29</v>
      </c>
      <c r="B19" s="7" t="s">
        <v>972</v>
      </c>
      <c r="C19" s="7" t="s">
        <v>1243</v>
      </c>
      <c r="D19" s="7" t="s">
        <v>973</v>
      </c>
      <c r="E19" s="7" t="s">
        <v>1512</v>
      </c>
      <c r="F19" s="7" t="s">
        <v>1403</v>
      </c>
      <c r="G19" s="14" t="s">
        <v>39</v>
      </c>
      <c r="H19" s="14" t="s">
        <v>171</v>
      </c>
      <c r="I19" s="14" t="s">
        <v>283</v>
      </c>
      <c r="J19" s="8"/>
      <c r="K19" s="8" t="str">
        <f>"72,5"</f>
        <v>72,5</v>
      </c>
      <c r="L19" s="8" t="str">
        <f>"41,1764"</f>
        <v>41,1764</v>
      </c>
      <c r="M19" s="7" t="s">
        <v>658</v>
      </c>
    </row>
    <row r="20" spans="1:13">
      <c r="B20" s="5" t="s">
        <v>30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:J9"/>
    <mergeCell ref="A12:J12"/>
    <mergeCell ref="A15:J15"/>
    <mergeCell ref="A18:J18"/>
    <mergeCell ref="B3:B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6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44" t="s">
        <v>1345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962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98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963</v>
      </c>
      <c r="C6" s="7" t="s">
        <v>964</v>
      </c>
      <c r="D6" s="7" t="s">
        <v>871</v>
      </c>
      <c r="E6" s="7" t="s">
        <v>1509</v>
      </c>
      <c r="F6" s="7" t="s">
        <v>965</v>
      </c>
      <c r="G6" s="14" t="s">
        <v>171</v>
      </c>
      <c r="H6" s="14" t="s">
        <v>283</v>
      </c>
      <c r="I6" s="15" t="s">
        <v>50</v>
      </c>
      <c r="J6" s="8"/>
      <c r="K6" s="8" t="str">
        <f>"72,5"</f>
        <v>72,5</v>
      </c>
      <c r="L6" s="8" t="str">
        <f>"44,6636"</f>
        <v>44,6636</v>
      </c>
      <c r="M6" s="7" t="s">
        <v>966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82"/>
  <sheetViews>
    <sheetView topLeftCell="A36" workbookViewId="0">
      <selection activeCell="E66" sqref="E66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30" style="5" bestFit="1" customWidth="1"/>
    <col min="14" max="16384" width="9.1640625" style="3"/>
  </cols>
  <sheetData>
    <row r="1" spans="1:13" s="2" customFormat="1" ht="29" customHeight="1">
      <c r="A1" s="44" t="s">
        <v>1342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1503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226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17" t="s">
        <v>29</v>
      </c>
      <c r="B6" s="16" t="s">
        <v>1014</v>
      </c>
      <c r="C6" s="16" t="s">
        <v>1224</v>
      </c>
      <c r="D6" s="16" t="s">
        <v>1015</v>
      </c>
      <c r="E6" s="16" t="s">
        <v>1508</v>
      </c>
      <c r="F6" s="16" t="s">
        <v>1480</v>
      </c>
      <c r="G6" s="23" t="s">
        <v>947</v>
      </c>
      <c r="H6" s="22" t="s">
        <v>947</v>
      </c>
      <c r="I6" s="22" t="s">
        <v>955</v>
      </c>
      <c r="J6" s="17"/>
      <c r="K6" s="17" t="str">
        <f>"21,0"</f>
        <v>21,0</v>
      </c>
      <c r="L6" s="17" t="str">
        <f>"28,2177"</f>
        <v>28,2177</v>
      </c>
      <c r="M6" s="16" t="s">
        <v>1016</v>
      </c>
    </row>
    <row r="7" spans="1:13">
      <c r="A7" s="19" t="s">
        <v>29</v>
      </c>
      <c r="B7" s="18" t="s">
        <v>227</v>
      </c>
      <c r="C7" s="18" t="s">
        <v>228</v>
      </c>
      <c r="D7" s="18" t="s">
        <v>229</v>
      </c>
      <c r="E7" s="18" t="s">
        <v>1509</v>
      </c>
      <c r="F7" s="18" t="s">
        <v>1404</v>
      </c>
      <c r="G7" s="24" t="s">
        <v>244</v>
      </c>
      <c r="H7" s="24" t="s">
        <v>196</v>
      </c>
      <c r="I7" s="24" t="s">
        <v>1017</v>
      </c>
      <c r="J7" s="19"/>
      <c r="K7" s="19" t="str">
        <f>"43,5"</f>
        <v>43,5</v>
      </c>
      <c r="L7" s="19" t="str">
        <f>"49,1506"</f>
        <v>49,1506</v>
      </c>
      <c r="M7" s="18" t="s">
        <v>232</v>
      </c>
    </row>
    <row r="8" spans="1:13">
      <c r="B8" s="5" t="s">
        <v>30</v>
      </c>
    </row>
    <row r="9" spans="1:13" ht="16">
      <c r="A9" s="33" t="s">
        <v>45</v>
      </c>
      <c r="B9" s="33"/>
      <c r="C9" s="33"/>
      <c r="D9" s="33"/>
      <c r="E9" s="33"/>
      <c r="F9" s="33"/>
      <c r="G9" s="33"/>
      <c r="H9" s="33"/>
      <c r="I9" s="33"/>
      <c r="J9" s="33"/>
    </row>
    <row r="10" spans="1:13">
      <c r="A10" s="17" t="s">
        <v>29</v>
      </c>
      <c r="B10" s="16" t="s">
        <v>1018</v>
      </c>
      <c r="C10" s="16" t="s">
        <v>1019</v>
      </c>
      <c r="D10" s="16" t="s">
        <v>632</v>
      </c>
      <c r="E10" s="16" t="s">
        <v>1509</v>
      </c>
      <c r="F10" s="16" t="s">
        <v>1403</v>
      </c>
      <c r="G10" s="22" t="s">
        <v>196</v>
      </c>
      <c r="H10" s="23" t="s">
        <v>197</v>
      </c>
      <c r="I10" s="22" t="s">
        <v>197</v>
      </c>
      <c r="J10" s="17"/>
      <c r="K10" s="17" t="str">
        <f>"45,0"</f>
        <v>45,0</v>
      </c>
      <c r="L10" s="17" t="str">
        <f>"45,7335"</f>
        <v>45,7335</v>
      </c>
      <c r="M10" s="16" t="s">
        <v>232</v>
      </c>
    </row>
    <row r="11" spans="1:13">
      <c r="A11" s="21" t="s">
        <v>189</v>
      </c>
      <c r="B11" s="20" t="s">
        <v>934</v>
      </c>
      <c r="C11" s="20" t="s">
        <v>935</v>
      </c>
      <c r="D11" s="20" t="s">
        <v>936</v>
      </c>
      <c r="E11" s="20" t="s">
        <v>1509</v>
      </c>
      <c r="F11" s="20" t="s">
        <v>1496</v>
      </c>
      <c r="G11" s="26" t="s">
        <v>952</v>
      </c>
      <c r="H11" s="26" t="s">
        <v>921</v>
      </c>
      <c r="I11" s="26" t="s">
        <v>948</v>
      </c>
      <c r="J11" s="21"/>
      <c r="K11" s="21" t="str">
        <f>"32,5"</f>
        <v>32,5</v>
      </c>
      <c r="L11" s="21" t="str">
        <f>"33,6375"</f>
        <v>33,6375</v>
      </c>
      <c r="M11" s="20" t="s">
        <v>937</v>
      </c>
    </row>
    <row r="12" spans="1:13">
      <c r="A12" s="21" t="s">
        <v>190</v>
      </c>
      <c r="B12" s="20" t="s">
        <v>945</v>
      </c>
      <c r="C12" s="20" t="s">
        <v>946</v>
      </c>
      <c r="D12" s="20" t="s">
        <v>604</v>
      </c>
      <c r="E12" s="20" t="s">
        <v>1509</v>
      </c>
      <c r="F12" s="20" t="s">
        <v>1403</v>
      </c>
      <c r="G12" s="27" t="s">
        <v>948</v>
      </c>
      <c r="H12" s="26" t="s">
        <v>948</v>
      </c>
      <c r="I12" s="27" t="s">
        <v>263</v>
      </c>
      <c r="J12" s="21"/>
      <c r="K12" s="21" t="str">
        <f>"32,5"</f>
        <v>32,5</v>
      </c>
      <c r="L12" s="21" t="str">
        <f>"33,5887"</f>
        <v>33,5887</v>
      </c>
      <c r="M12" s="20" t="s">
        <v>1350</v>
      </c>
    </row>
    <row r="13" spans="1:13">
      <c r="A13" s="21" t="s">
        <v>437</v>
      </c>
      <c r="B13" s="20" t="s">
        <v>1020</v>
      </c>
      <c r="C13" s="20" t="s">
        <v>1021</v>
      </c>
      <c r="D13" s="20" t="s">
        <v>1022</v>
      </c>
      <c r="E13" s="20" t="s">
        <v>1509</v>
      </c>
      <c r="F13" s="20" t="s">
        <v>1497</v>
      </c>
      <c r="G13" s="27" t="s">
        <v>921</v>
      </c>
      <c r="H13" s="26" t="s">
        <v>921</v>
      </c>
      <c r="I13" s="26" t="s">
        <v>948</v>
      </c>
      <c r="J13" s="21"/>
      <c r="K13" s="21" t="str">
        <f>"32,5"</f>
        <v>32,5</v>
      </c>
      <c r="L13" s="21" t="str">
        <f>"32,0970"</f>
        <v>32,0970</v>
      </c>
      <c r="M13" s="20" t="s">
        <v>225</v>
      </c>
    </row>
    <row r="14" spans="1:13">
      <c r="A14" s="19" t="s">
        <v>438</v>
      </c>
      <c r="B14" s="18" t="s">
        <v>967</v>
      </c>
      <c r="C14" s="18" t="s">
        <v>968</v>
      </c>
      <c r="D14" s="18" t="s">
        <v>959</v>
      </c>
      <c r="E14" s="18" t="s">
        <v>1509</v>
      </c>
      <c r="F14" s="18" t="s">
        <v>1402</v>
      </c>
      <c r="G14" s="25" t="s">
        <v>950</v>
      </c>
      <c r="H14" s="24" t="s">
        <v>950</v>
      </c>
      <c r="I14" s="24" t="s">
        <v>921</v>
      </c>
      <c r="J14" s="19"/>
      <c r="K14" s="19" t="str">
        <f>"30,0"</f>
        <v>30,0</v>
      </c>
      <c r="L14" s="19" t="str">
        <f>"29,9085"</f>
        <v>29,9085</v>
      </c>
      <c r="M14" s="18" t="s">
        <v>623</v>
      </c>
    </row>
    <row r="15" spans="1:13">
      <c r="B15" s="5" t="s">
        <v>30</v>
      </c>
    </row>
    <row r="16" spans="1:13" ht="16">
      <c r="A16" s="33" t="s">
        <v>275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3">
      <c r="A17" s="17" t="s">
        <v>29</v>
      </c>
      <c r="B17" s="16" t="s">
        <v>1023</v>
      </c>
      <c r="C17" s="16" t="s">
        <v>1225</v>
      </c>
      <c r="D17" s="16" t="s">
        <v>898</v>
      </c>
      <c r="E17" s="16" t="s">
        <v>1511</v>
      </c>
      <c r="F17" s="16" t="s">
        <v>1403</v>
      </c>
      <c r="G17" s="22" t="s">
        <v>948</v>
      </c>
      <c r="H17" s="23" t="s">
        <v>263</v>
      </c>
      <c r="I17" s="22" t="s">
        <v>263</v>
      </c>
      <c r="J17" s="23" t="s">
        <v>264</v>
      </c>
      <c r="K17" s="17" t="str">
        <f>"35,0"</f>
        <v>35,0</v>
      </c>
      <c r="L17" s="17" t="str">
        <f>"34,5507"</f>
        <v>34,5507</v>
      </c>
      <c r="M17" s="16" t="s">
        <v>658</v>
      </c>
    </row>
    <row r="18" spans="1:13">
      <c r="A18" s="19" t="s">
        <v>189</v>
      </c>
      <c r="B18" s="18" t="s">
        <v>1024</v>
      </c>
      <c r="C18" s="18" t="s">
        <v>1226</v>
      </c>
      <c r="D18" s="18" t="s">
        <v>281</v>
      </c>
      <c r="E18" s="18" t="s">
        <v>1511</v>
      </c>
      <c r="F18" s="18" t="s">
        <v>1403</v>
      </c>
      <c r="G18" s="24" t="s">
        <v>950</v>
      </c>
      <c r="H18" s="25" t="s">
        <v>952</v>
      </c>
      <c r="I18" s="24" t="s">
        <v>952</v>
      </c>
      <c r="J18" s="19"/>
      <c r="K18" s="19" t="str">
        <f>"27,5"</f>
        <v>27,5</v>
      </c>
      <c r="L18" s="19" t="str">
        <f>"27,2765"</f>
        <v>27,2765</v>
      </c>
      <c r="M18" s="18" t="s">
        <v>658</v>
      </c>
    </row>
    <row r="19" spans="1:13">
      <c r="B19" s="5" t="s">
        <v>30</v>
      </c>
    </row>
    <row r="20" spans="1:13" ht="16">
      <c r="A20" s="33" t="s">
        <v>67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3">
      <c r="A21" s="8" t="s">
        <v>29</v>
      </c>
      <c r="B21" s="7" t="s">
        <v>969</v>
      </c>
      <c r="C21" s="7" t="s">
        <v>970</v>
      </c>
      <c r="D21" s="7" t="s">
        <v>70</v>
      </c>
      <c r="E21" s="7" t="s">
        <v>1509</v>
      </c>
      <c r="F21" s="7" t="s">
        <v>1402</v>
      </c>
      <c r="G21" s="14" t="s">
        <v>948</v>
      </c>
      <c r="H21" s="14" t="s">
        <v>263</v>
      </c>
      <c r="I21" s="15" t="s">
        <v>264</v>
      </c>
      <c r="J21" s="8"/>
      <c r="K21" s="8" t="str">
        <f>"35,0"</f>
        <v>35,0</v>
      </c>
      <c r="L21" s="8" t="str">
        <f>"29,4752"</f>
        <v>29,4752</v>
      </c>
      <c r="M21" s="7" t="s">
        <v>971</v>
      </c>
    </row>
    <row r="22" spans="1:13">
      <c r="B22" s="5" t="s">
        <v>30</v>
      </c>
    </row>
    <row r="23" spans="1:13" ht="16">
      <c r="A23" s="33" t="s">
        <v>226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3">
      <c r="A24" s="8" t="s">
        <v>29</v>
      </c>
      <c r="B24" s="7" t="s">
        <v>977</v>
      </c>
      <c r="C24" s="7" t="s">
        <v>1227</v>
      </c>
      <c r="D24" s="7" t="s">
        <v>978</v>
      </c>
      <c r="E24" s="7" t="s">
        <v>1508</v>
      </c>
      <c r="F24" s="7" t="s">
        <v>1419</v>
      </c>
      <c r="G24" s="14" t="s">
        <v>223</v>
      </c>
      <c r="H24" s="14" t="s">
        <v>218</v>
      </c>
      <c r="I24" s="15" t="s">
        <v>219</v>
      </c>
      <c r="J24" s="8"/>
      <c r="K24" s="8" t="str">
        <f>"50,0"</f>
        <v>50,0</v>
      </c>
      <c r="L24" s="8" t="str">
        <f>"51,4350"</f>
        <v>51,4350</v>
      </c>
      <c r="M24" s="7" t="s">
        <v>315</v>
      </c>
    </row>
    <row r="25" spans="1:13">
      <c r="B25" s="5" t="s">
        <v>30</v>
      </c>
    </row>
    <row r="26" spans="1:13" ht="16">
      <c r="A26" s="33" t="s">
        <v>45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3">
      <c r="A27" s="8" t="s">
        <v>29</v>
      </c>
      <c r="B27" s="7" t="s">
        <v>1025</v>
      </c>
      <c r="C27" s="7" t="s">
        <v>1228</v>
      </c>
      <c r="D27" s="7" t="s">
        <v>1026</v>
      </c>
      <c r="E27" s="7" t="s">
        <v>1508</v>
      </c>
      <c r="F27" s="7" t="s">
        <v>1464</v>
      </c>
      <c r="G27" s="14" t="s">
        <v>263</v>
      </c>
      <c r="H27" s="14" t="s">
        <v>264</v>
      </c>
      <c r="I27" s="14" t="s">
        <v>244</v>
      </c>
      <c r="J27" s="8"/>
      <c r="K27" s="8" t="str">
        <f>"40,0"</f>
        <v>40,0</v>
      </c>
      <c r="L27" s="8" t="str">
        <f>"34,0380"</f>
        <v>34,0380</v>
      </c>
      <c r="M27" s="7" t="s">
        <v>315</v>
      </c>
    </row>
    <row r="28" spans="1:13">
      <c r="B28" s="5" t="s">
        <v>30</v>
      </c>
    </row>
    <row r="29" spans="1:13" ht="16">
      <c r="A29" s="33" t="s">
        <v>275</v>
      </c>
      <c r="B29" s="33"/>
      <c r="C29" s="33"/>
      <c r="D29" s="33"/>
      <c r="E29" s="33"/>
      <c r="F29" s="33"/>
      <c r="G29" s="33"/>
      <c r="H29" s="33"/>
      <c r="I29" s="33"/>
      <c r="J29" s="33"/>
    </row>
    <row r="30" spans="1:13">
      <c r="A30" s="17" t="s">
        <v>29</v>
      </c>
      <c r="B30" s="16" t="s">
        <v>636</v>
      </c>
      <c r="C30" s="16" t="s">
        <v>1229</v>
      </c>
      <c r="D30" s="16" t="s">
        <v>637</v>
      </c>
      <c r="E30" s="16" t="s">
        <v>1512</v>
      </c>
      <c r="F30" s="16" t="s">
        <v>1408</v>
      </c>
      <c r="G30" s="22" t="s">
        <v>197</v>
      </c>
      <c r="H30" s="22" t="s">
        <v>211</v>
      </c>
      <c r="I30" s="23" t="s">
        <v>38</v>
      </c>
      <c r="J30" s="17"/>
      <c r="K30" s="17" t="str">
        <f>"55,0"</f>
        <v>55,0</v>
      </c>
      <c r="L30" s="17" t="str">
        <f>"42,0200"</f>
        <v>42,0200</v>
      </c>
      <c r="M30" s="16" t="s">
        <v>279</v>
      </c>
    </row>
    <row r="31" spans="1:13">
      <c r="A31" s="21" t="s">
        <v>189</v>
      </c>
      <c r="B31" s="20" t="s">
        <v>1027</v>
      </c>
      <c r="C31" s="20" t="s">
        <v>1230</v>
      </c>
      <c r="D31" s="20" t="s">
        <v>953</v>
      </c>
      <c r="E31" s="20" t="s">
        <v>1512</v>
      </c>
      <c r="F31" s="20" t="s">
        <v>1405</v>
      </c>
      <c r="G31" s="27" t="s">
        <v>197</v>
      </c>
      <c r="H31" s="26" t="s">
        <v>197</v>
      </c>
      <c r="I31" s="26" t="s">
        <v>218</v>
      </c>
      <c r="J31" s="21"/>
      <c r="K31" s="21" t="str">
        <f>"50,0"</f>
        <v>50,0</v>
      </c>
      <c r="L31" s="21" t="str">
        <f>"38,3525"</f>
        <v>38,3525</v>
      </c>
      <c r="M31" s="20" t="s">
        <v>279</v>
      </c>
    </row>
    <row r="32" spans="1:13">
      <c r="A32" s="21" t="s">
        <v>29</v>
      </c>
      <c r="B32" s="20" t="s">
        <v>1028</v>
      </c>
      <c r="C32" s="20" t="s">
        <v>1029</v>
      </c>
      <c r="D32" s="20" t="s">
        <v>1030</v>
      </c>
      <c r="E32" s="20" t="s">
        <v>1509</v>
      </c>
      <c r="F32" s="20" t="s">
        <v>1498</v>
      </c>
      <c r="G32" s="26" t="s">
        <v>38</v>
      </c>
      <c r="H32" s="26" t="s">
        <v>39</v>
      </c>
      <c r="I32" s="26" t="s">
        <v>1031</v>
      </c>
      <c r="J32" s="27" t="s">
        <v>951</v>
      </c>
      <c r="K32" s="21" t="str">
        <f>"65,5"</f>
        <v>65,5</v>
      </c>
      <c r="L32" s="21" t="str">
        <f>"49,2069"</f>
        <v>49,2069</v>
      </c>
      <c r="M32" s="20" t="s">
        <v>658</v>
      </c>
    </row>
    <row r="33" spans="1:13">
      <c r="A33" s="21" t="s">
        <v>189</v>
      </c>
      <c r="B33" s="20" t="s">
        <v>1032</v>
      </c>
      <c r="C33" s="20" t="s">
        <v>1033</v>
      </c>
      <c r="D33" s="20" t="s">
        <v>1034</v>
      </c>
      <c r="E33" s="20" t="s">
        <v>1509</v>
      </c>
      <c r="F33" s="20" t="s">
        <v>1487</v>
      </c>
      <c r="G33" s="26" t="s">
        <v>212</v>
      </c>
      <c r="H33" s="26" t="s">
        <v>1035</v>
      </c>
      <c r="I33" s="27" t="s">
        <v>1031</v>
      </c>
      <c r="J33" s="21"/>
      <c r="K33" s="21" t="str">
        <f>"63,5"</f>
        <v>63,5</v>
      </c>
      <c r="L33" s="21" t="str">
        <f>"48,1965"</f>
        <v>48,1965</v>
      </c>
      <c r="M33" s="20" t="s">
        <v>315</v>
      </c>
    </row>
    <row r="34" spans="1:13">
      <c r="A34" s="19" t="s">
        <v>29</v>
      </c>
      <c r="B34" s="18" t="s">
        <v>1036</v>
      </c>
      <c r="C34" s="18" t="s">
        <v>1231</v>
      </c>
      <c r="D34" s="18" t="s">
        <v>1037</v>
      </c>
      <c r="E34" s="18" t="s">
        <v>1511</v>
      </c>
      <c r="F34" s="18" t="s">
        <v>1427</v>
      </c>
      <c r="G34" s="24" t="s">
        <v>218</v>
      </c>
      <c r="H34" s="25" t="s">
        <v>211</v>
      </c>
      <c r="I34" s="25" t="s">
        <v>211</v>
      </c>
      <c r="J34" s="19"/>
      <c r="K34" s="19" t="str">
        <f>"50,0"</f>
        <v>50,0</v>
      </c>
      <c r="L34" s="19" t="str">
        <f>"39,9344"</f>
        <v>39,9344</v>
      </c>
      <c r="M34" s="18" t="s">
        <v>786</v>
      </c>
    </row>
    <row r="35" spans="1:13">
      <c r="B35" s="5" t="s">
        <v>30</v>
      </c>
    </row>
    <row r="36" spans="1:13" ht="16">
      <c r="A36" s="33" t="s">
        <v>67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3">
      <c r="A37" s="17" t="s">
        <v>29</v>
      </c>
      <c r="B37" s="16" t="s">
        <v>1038</v>
      </c>
      <c r="C37" s="16" t="s">
        <v>1232</v>
      </c>
      <c r="D37" s="16" t="s">
        <v>1039</v>
      </c>
      <c r="E37" s="16" t="s">
        <v>1512</v>
      </c>
      <c r="F37" s="16" t="s">
        <v>1499</v>
      </c>
      <c r="G37" s="22" t="s">
        <v>197</v>
      </c>
      <c r="H37" s="22" t="s">
        <v>218</v>
      </c>
      <c r="I37" s="22" t="s">
        <v>219</v>
      </c>
      <c r="J37" s="17"/>
      <c r="K37" s="17" t="str">
        <f>"52,5"</f>
        <v>52,5</v>
      </c>
      <c r="L37" s="17" t="str">
        <f>"36,6975"</f>
        <v>36,6975</v>
      </c>
      <c r="M37" s="16" t="s">
        <v>279</v>
      </c>
    </row>
    <row r="38" spans="1:13">
      <c r="A38" s="21" t="s">
        <v>29</v>
      </c>
      <c r="B38" s="20" t="s">
        <v>1040</v>
      </c>
      <c r="C38" s="20" t="s">
        <v>1041</v>
      </c>
      <c r="D38" s="20" t="s">
        <v>924</v>
      </c>
      <c r="E38" s="20" t="s">
        <v>1509</v>
      </c>
      <c r="F38" s="20" t="s">
        <v>1403</v>
      </c>
      <c r="G38" s="26" t="s">
        <v>51</v>
      </c>
      <c r="H38" s="26" t="s">
        <v>52</v>
      </c>
      <c r="I38" s="21"/>
      <c r="J38" s="21"/>
      <c r="K38" s="21" t="str">
        <f>"82,5"</f>
        <v>82,5</v>
      </c>
      <c r="L38" s="21" t="str">
        <f>"58,5915"</f>
        <v>58,5915</v>
      </c>
      <c r="M38" s="20" t="s">
        <v>315</v>
      </c>
    </row>
    <row r="39" spans="1:13">
      <c r="A39" s="21" t="s">
        <v>189</v>
      </c>
      <c r="B39" s="20" t="s">
        <v>68</v>
      </c>
      <c r="C39" s="20" t="s">
        <v>69</v>
      </c>
      <c r="D39" s="20" t="s">
        <v>321</v>
      </c>
      <c r="E39" s="20" t="s">
        <v>1509</v>
      </c>
      <c r="F39" s="20" t="s">
        <v>71</v>
      </c>
      <c r="G39" s="26" t="s">
        <v>211</v>
      </c>
      <c r="H39" s="26" t="s">
        <v>212</v>
      </c>
      <c r="I39" s="26" t="s">
        <v>39</v>
      </c>
      <c r="J39" s="21"/>
      <c r="K39" s="21" t="str">
        <f>"65,0"</f>
        <v>65,0</v>
      </c>
      <c r="L39" s="21" t="str">
        <f>"45,4838"</f>
        <v>45,4838</v>
      </c>
      <c r="M39" s="20" t="s">
        <v>315</v>
      </c>
    </row>
    <row r="40" spans="1:13">
      <c r="A40" s="21" t="s">
        <v>190</v>
      </c>
      <c r="B40" s="20" t="s">
        <v>655</v>
      </c>
      <c r="C40" s="20" t="s">
        <v>656</v>
      </c>
      <c r="D40" s="20" t="s">
        <v>657</v>
      </c>
      <c r="E40" s="20" t="s">
        <v>1509</v>
      </c>
      <c r="F40" s="20" t="s">
        <v>1403</v>
      </c>
      <c r="G40" s="26" t="s">
        <v>211</v>
      </c>
      <c r="H40" s="21"/>
      <c r="I40" s="21"/>
      <c r="J40" s="21"/>
      <c r="K40" s="21" t="str">
        <f>"55,0"</f>
        <v>55,0</v>
      </c>
      <c r="L40" s="21" t="str">
        <f>"38,2883"</f>
        <v>38,2883</v>
      </c>
      <c r="M40" s="20" t="s">
        <v>658</v>
      </c>
    </row>
    <row r="41" spans="1:13">
      <c r="A41" s="19" t="s">
        <v>437</v>
      </c>
      <c r="B41" s="18" t="s">
        <v>1042</v>
      </c>
      <c r="C41" s="18" t="s">
        <v>1043</v>
      </c>
      <c r="D41" s="18" t="s">
        <v>961</v>
      </c>
      <c r="E41" s="18" t="s">
        <v>1509</v>
      </c>
      <c r="F41" s="18" t="s">
        <v>1403</v>
      </c>
      <c r="G41" s="25" t="s">
        <v>219</v>
      </c>
      <c r="H41" s="24" t="s">
        <v>219</v>
      </c>
      <c r="I41" s="24" t="s">
        <v>211</v>
      </c>
      <c r="J41" s="19"/>
      <c r="K41" s="19" t="str">
        <f>"55,0"</f>
        <v>55,0</v>
      </c>
      <c r="L41" s="19" t="str">
        <f>"38,0958"</f>
        <v>38,0958</v>
      </c>
      <c r="M41" s="18" t="s">
        <v>315</v>
      </c>
    </row>
    <row r="42" spans="1:13">
      <c r="B42" s="5" t="s">
        <v>30</v>
      </c>
    </row>
    <row r="43" spans="1:13" ht="16">
      <c r="A43" s="33" t="s">
        <v>79</v>
      </c>
      <c r="B43" s="33"/>
      <c r="C43" s="33"/>
      <c r="D43" s="33"/>
      <c r="E43" s="33"/>
      <c r="F43" s="33"/>
      <c r="G43" s="33"/>
      <c r="H43" s="33"/>
      <c r="I43" s="33"/>
      <c r="J43" s="33"/>
    </row>
    <row r="44" spans="1:13">
      <c r="A44" s="17" t="s">
        <v>29</v>
      </c>
      <c r="B44" s="16" t="s">
        <v>1044</v>
      </c>
      <c r="C44" s="16" t="s">
        <v>1045</v>
      </c>
      <c r="D44" s="16" t="s">
        <v>1046</v>
      </c>
      <c r="E44" s="16" t="s">
        <v>1509</v>
      </c>
      <c r="F44" s="16" t="s">
        <v>1453</v>
      </c>
      <c r="G44" s="22" t="s">
        <v>39</v>
      </c>
      <c r="H44" s="22" t="s">
        <v>171</v>
      </c>
      <c r="I44" s="23" t="s">
        <v>50</v>
      </c>
      <c r="J44" s="17"/>
      <c r="K44" s="17" t="str">
        <f>"70,0"</f>
        <v>70,0</v>
      </c>
      <c r="L44" s="17" t="str">
        <f>"45,8955"</f>
        <v>45,8955</v>
      </c>
      <c r="M44" s="16" t="s">
        <v>315</v>
      </c>
    </row>
    <row r="45" spans="1:13">
      <c r="A45" s="21" t="s">
        <v>189</v>
      </c>
      <c r="B45" s="20" t="s">
        <v>1047</v>
      </c>
      <c r="C45" s="20" t="s">
        <v>1048</v>
      </c>
      <c r="D45" s="20" t="s">
        <v>1049</v>
      </c>
      <c r="E45" s="20" t="s">
        <v>1509</v>
      </c>
      <c r="F45" s="20" t="s">
        <v>1463</v>
      </c>
      <c r="G45" s="26" t="s">
        <v>218</v>
      </c>
      <c r="H45" s="26" t="s">
        <v>236</v>
      </c>
      <c r="I45" s="26" t="s">
        <v>39</v>
      </c>
      <c r="J45" s="21"/>
      <c r="K45" s="21" t="str">
        <f>"65,0"</f>
        <v>65,0</v>
      </c>
      <c r="L45" s="21" t="str">
        <f>"42,2663"</f>
        <v>42,2663</v>
      </c>
      <c r="M45" s="20" t="s">
        <v>315</v>
      </c>
    </row>
    <row r="46" spans="1:13">
      <c r="A46" s="21" t="s">
        <v>190</v>
      </c>
      <c r="B46" s="20" t="s">
        <v>1050</v>
      </c>
      <c r="C46" s="20" t="s">
        <v>1051</v>
      </c>
      <c r="D46" s="20" t="s">
        <v>508</v>
      </c>
      <c r="E46" s="20" t="s">
        <v>1509</v>
      </c>
      <c r="F46" s="20" t="s">
        <v>1430</v>
      </c>
      <c r="G46" s="26" t="s">
        <v>236</v>
      </c>
      <c r="H46" s="26" t="s">
        <v>39</v>
      </c>
      <c r="I46" s="27" t="s">
        <v>171</v>
      </c>
      <c r="J46" s="21"/>
      <c r="K46" s="21" t="str">
        <f>"65,0"</f>
        <v>65,0</v>
      </c>
      <c r="L46" s="21" t="str">
        <f>"41,8990"</f>
        <v>41,8990</v>
      </c>
      <c r="M46" s="20" t="s">
        <v>315</v>
      </c>
    </row>
    <row r="47" spans="1:13">
      <c r="A47" s="21" t="s">
        <v>437</v>
      </c>
      <c r="B47" s="20" t="s">
        <v>682</v>
      </c>
      <c r="C47" s="20" t="s">
        <v>683</v>
      </c>
      <c r="D47" s="20" t="s">
        <v>684</v>
      </c>
      <c r="E47" s="20" t="s">
        <v>1509</v>
      </c>
      <c r="F47" s="20" t="s">
        <v>1414</v>
      </c>
      <c r="G47" s="26" t="s">
        <v>211</v>
      </c>
      <c r="H47" s="26" t="s">
        <v>212</v>
      </c>
      <c r="I47" s="27" t="s">
        <v>39</v>
      </c>
      <c r="J47" s="21"/>
      <c r="K47" s="21" t="str">
        <f>"60,0"</f>
        <v>60,0</v>
      </c>
      <c r="L47" s="21" t="str">
        <f>"38,9550"</f>
        <v>38,9550</v>
      </c>
      <c r="M47" s="20" t="s">
        <v>315</v>
      </c>
    </row>
    <row r="48" spans="1:13">
      <c r="A48" s="21" t="s">
        <v>438</v>
      </c>
      <c r="B48" s="20" t="s">
        <v>674</v>
      </c>
      <c r="C48" s="20" t="s">
        <v>675</v>
      </c>
      <c r="D48" s="20" t="s">
        <v>676</v>
      </c>
      <c r="E48" s="20" t="s">
        <v>1509</v>
      </c>
      <c r="F48" s="20" t="s">
        <v>1402</v>
      </c>
      <c r="G48" s="26" t="s">
        <v>211</v>
      </c>
      <c r="H48" s="26" t="s">
        <v>236</v>
      </c>
      <c r="I48" s="27" t="s">
        <v>38</v>
      </c>
      <c r="J48" s="21"/>
      <c r="K48" s="21" t="str">
        <f>"57,5"</f>
        <v>57,5</v>
      </c>
      <c r="L48" s="21" t="str">
        <f>"37,7603"</f>
        <v>37,7603</v>
      </c>
      <c r="M48" s="20" t="s">
        <v>623</v>
      </c>
    </row>
    <row r="49" spans="1:13">
      <c r="A49" s="21" t="s">
        <v>29</v>
      </c>
      <c r="B49" s="20" t="s">
        <v>1052</v>
      </c>
      <c r="C49" s="20" t="s">
        <v>1233</v>
      </c>
      <c r="D49" s="20" t="s">
        <v>505</v>
      </c>
      <c r="E49" s="20" t="s">
        <v>1511</v>
      </c>
      <c r="F49" s="20" t="s">
        <v>1403</v>
      </c>
      <c r="G49" s="26" t="s">
        <v>211</v>
      </c>
      <c r="H49" s="26" t="s">
        <v>212</v>
      </c>
      <c r="I49" s="26" t="s">
        <v>38</v>
      </c>
      <c r="J49" s="21"/>
      <c r="K49" s="21" t="str">
        <f>"62,5"</f>
        <v>62,5</v>
      </c>
      <c r="L49" s="21" t="str">
        <f>"41,7329"</f>
        <v>41,7329</v>
      </c>
      <c r="M49" s="20" t="s">
        <v>658</v>
      </c>
    </row>
    <row r="50" spans="1:13">
      <c r="A50" s="19" t="s">
        <v>29</v>
      </c>
      <c r="B50" s="18" t="s">
        <v>1044</v>
      </c>
      <c r="C50" s="18" t="s">
        <v>1234</v>
      </c>
      <c r="D50" s="18" t="s">
        <v>1046</v>
      </c>
      <c r="E50" s="18" t="s">
        <v>1510</v>
      </c>
      <c r="F50" s="18" t="s">
        <v>1453</v>
      </c>
      <c r="G50" s="24" t="s">
        <v>39</v>
      </c>
      <c r="H50" s="24" t="s">
        <v>171</v>
      </c>
      <c r="I50" s="25" t="s">
        <v>50</v>
      </c>
      <c r="J50" s="19"/>
      <c r="K50" s="19" t="str">
        <f>"70,0"</f>
        <v>70,0</v>
      </c>
      <c r="L50" s="19" t="str">
        <f>"51,8619"</f>
        <v>51,8619</v>
      </c>
      <c r="M50" s="18" t="s">
        <v>315</v>
      </c>
    </row>
    <row r="51" spans="1:13">
      <c r="B51" s="5" t="s">
        <v>30</v>
      </c>
    </row>
    <row r="52" spans="1:13" ht="16">
      <c r="A52" s="33" t="s">
        <v>98</v>
      </c>
      <c r="B52" s="33"/>
      <c r="C52" s="33"/>
      <c r="D52" s="33"/>
      <c r="E52" s="33"/>
      <c r="F52" s="33"/>
      <c r="G52" s="33"/>
      <c r="H52" s="33"/>
      <c r="I52" s="33"/>
      <c r="J52" s="33"/>
    </row>
    <row r="53" spans="1:13">
      <c r="A53" s="17" t="s">
        <v>29</v>
      </c>
      <c r="B53" s="16" t="s">
        <v>990</v>
      </c>
      <c r="C53" s="16" t="s">
        <v>991</v>
      </c>
      <c r="D53" s="16" t="s">
        <v>992</v>
      </c>
      <c r="E53" s="16" t="s">
        <v>1509</v>
      </c>
      <c r="F53" s="16" t="s">
        <v>1453</v>
      </c>
      <c r="G53" s="22" t="s">
        <v>171</v>
      </c>
      <c r="H53" s="23" t="s">
        <v>50</v>
      </c>
      <c r="I53" s="22" t="s">
        <v>50</v>
      </c>
      <c r="J53" s="17"/>
      <c r="K53" s="17" t="str">
        <f>"75,0"</f>
        <v>75,0</v>
      </c>
      <c r="L53" s="17" t="str">
        <f>"47,1450"</f>
        <v>47,1450</v>
      </c>
      <c r="M53" s="16" t="s">
        <v>993</v>
      </c>
    </row>
    <row r="54" spans="1:13">
      <c r="A54" s="21" t="s">
        <v>189</v>
      </c>
      <c r="B54" s="20" t="s">
        <v>1053</v>
      </c>
      <c r="C54" s="20" t="s">
        <v>1054</v>
      </c>
      <c r="D54" s="20" t="s">
        <v>360</v>
      </c>
      <c r="E54" s="20" t="s">
        <v>1509</v>
      </c>
      <c r="F54" s="20" t="s">
        <v>1438</v>
      </c>
      <c r="G54" s="26" t="s">
        <v>171</v>
      </c>
      <c r="H54" s="26" t="s">
        <v>50</v>
      </c>
      <c r="I54" s="27" t="s">
        <v>245</v>
      </c>
      <c r="J54" s="21"/>
      <c r="K54" s="21" t="str">
        <f>"75,0"</f>
        <v>75,0</v>
      </c>
      <c r="L54" s="21" t="str">
        <f>"46,5375"</f>
        <v>46,5375</v>
      </c>
      <c r="M54" s="20" t="s">
        <v>315</v>
      </c>
    </row>
    <row r="55" spans="1:13">
      <c r="A55" s="21" t="s">
        <v>190</v>
      </c>
      <c r="B55" s="20" t="s">
        <v>1055</v>
      </c>
      <c r="C55" s="20" t="s">
        <v>1056</v>
      </c>
      <c r="D55" s="20" t="s">
        <v>367</v>
      </c>
      <c r="E55" s="20" t="s">
        <v>1509</v>
      </c>
      <c r="F55" s="20" t="s">
        <v>1500</v>
      </c>
      <c r="G55" s="26" t="s">
        <v>212</v>
      </c>
      <c r="H55" s="26" t="s">
        <v>39</v>
      </c>
      <c r="I55" s="26" t="s">
        <v>171</v>
      </c>
      <c r="J55" s="21"/>
      <c r="K55" s="21" t="str">
        <f>"70,0"</f>
        <v>70,0</v>
      </c>
      <c r="L55" s="21" t="str">
        <f>"43,3195"</f>
        <v>43,3195</v>
      </c>
      <c r="M55" s="20" t="s">
        <v>315</v>
      </c>
    </row>
    <row r="56" spans="1:13">
      <c r="A56" s="21" t="s">
        <v>437</v>
      </c>
      <c r="B56" s="20" t="s">
        <v>939</v>
      </c>
      <c r="C56" s="20" t="s">
        <v>940</v>
      </c>
      <c r="D56" s="20" t="s">
        <v>448</v>
      </c>
      <c r="E56" s="20" t="s">
        <v>1509</v>
      </c>
      <c r="F56" s="20" t="s">
        <v>1496</v>
      </c>
      <c r="G56" s="26" t="s">
        <v>212</v>
      </c>
      <c r="H56" s="26" t="s">
        <v>39</v>
      </c>
      <c r="I56" s="26" t="s">
        <v>171</v>
      </c>
      <c r="J56" s="21"/>
      <c r="K56" s="21" t="str">
        <f>"70,0"</f>
        <v>70,0</v>
      </c>
      <c r="L56" s="21" t="str">
        <f>"43,0710"</f>
        <v>43,0710</v>
      </c>
      <c r="M56" s="20" t="s">
        <v>937</v>
      </c>
    </row>
    <row r="57" spans="1:13">
      <c r="A57" s="21" t="s">
        <v>438</v>
      </c>
      <c r="B57" s="20" t="s">
        <v>1057</v>
      </c>
      <c r="C57" s="20" t="s">
        <v>1058</v>
      </c>
      <c r="D57" s="20" t="s">
        <v>448</v>
      </c>
      <c r="E57" s="20" t="s">
        <v>1509</v>
      </c>
      <c r="F57" s="20" t="s">
        <v>1404</v>
      </c>
      <c r="G57" s="26" t="s">
        <v>212</v>
      </c>
      <c r="H57" s="27" t="s">
        <v>39</v>
      </c>
      <c r="I57" s="26" t="s">
        <v>39</v>
      </c>
      <c r="J57" s="21"/>
      <c r="K57" s="21" t="str">
        <f>"65,0"</f>
        <v>65,0</v>
      </c>
      <c r="L57" s="21" t="str">
        <f>"39,9945"</f>
        <v>39,9945</v>
      </c>
      <c r="M57" s="20" t="s">
        <v>1348</v>
      </c>
    </row>
    <row r="58" spans="1:13">
      <c r="A58" s="19" t="s">
        <v>29</v>
      </c>
      <c r="B58" s="18" t="s">
        <v>929</v>
      </c>
      <c r="C58" s="18" t="s">
        <v>1221</v>
      </c>
      <c r="D58" s="18" t="s">
        <v>448</v>
      </c>
      <c r="E58" s="18" t="s">
        <v>1511</v>
      </c>
      <c r="F58" s="18" t="s">
        <v>1448</v>
      </c>
      <c r="G58" s="24" t="s">
        <v>40</v>
      </c>
      <c r="H58" s="25" t="s">
        <v>283</v>
      </c>
      <c r="I58" s="25" t="s">
        <v>283</v>
      </c>
      <c r="J58" s="19"/>
      <c r="K58" s="19" t="str">
        <f>"67,5"</f>
        <v>67,5</v>
      </c>
      <c r="L58" s="19" t="str">
        <f>"43,8171"</f>
        <v>43,8171</v>
      </c>
      <c r="M58" s="18" t="s">
        <v>315</v>
      </c>
    </row>
    <row r="59" spans="1:13">
      <c r="B59" s="5" t="s">
        <v>30</v>
      </c>
    </row>
    <row r="60" spans="1:13" ht="16">
      <c r="A60" s="33" t="s">
        <v>10</v>
      </c>
      <c r="B60" s="33"/>
      <c r="C60" s="33"/>
      <c r="D60" s="33"/>
      <c r="E60" s="33"/>
      <c r="F60" s="33"/>
      <c r="G60" s="33"/>
      <c r="H60" s="33"/>
      <c r="I60" s="33"/>
      <c r="J60" s="33"/>
    </row>
    <row r="61" spans="1:13">
      <c r="A61" s="17" t="s">
        <v>191</v>
      </c>
      <c r="B61" s="16" t="s">
        <v>1059</v>
      </c>
      <c r="C61" s="16" t="s">
        <v>1060</v>
      </c>
      <c r="D61" s="16" t="s">
        <v>147</v>
      </c>
      <c r="E61" s="16" t="s">
        <v>1509</v>
      </c>
      <c r="F61" s="16" t="s">
        <v>1061</v>
      </c>
      <c r="G61" s="23" t="s">
        <v>212</v>
      </c>
      <c r="H61" s="23" t="s">
        <v>212</v>
      </c>
      <c r="I61" s="23" t="s">
        <v>212</v>
      </c>
      <c r="J61" s="17"/>
      <c r="K61" s="17" t="str">
        <f>"0.00"</f>
        <v>0.00</v>
      </c>
      <c r="L61" s="17" t="str">
        <f>"0,0000"</f>
        <v>0,0000</v>
      </c>
      <c r="M61" s="16" t="s">
        <v>1351</v>
      </c>
    </row>
    <row r="62" spans="1:13">
      <c r="A62" s="19" t="s">
        <v>191</v>
      </c>
      <c r="B62" s="18" t="s">
        <v>1059</v>
      </c>
      <c r="C62" s="18" t="s">
        <v>1235</v>
      </c>
      <c r="D62" s="18" t="s">
        <v>147</v>
      </c>
      <c r="E62" s="18" t="s">
        <v>1511</v>
      </c>
      <c r="F62" s="18" t="s">
        <v>1061</v>
      </c>
      <c r="G62" s="25" t="s">
        <v>212</v>
      </c>
      <c r="H62" s="25" t="s">
        <v>212</v>
      </c>
      <c r="I62" s="25" t="s">
        <v>212</v>
      </c>
      <c r="J62" s="19"/>
      <c r="K62" s="19" t="str">
        <f>"0.00"</f>
        <v>0.00</v>
      </c>
      <c r="L62" s="19" t="str">
        <f>"0,0000"</f>
        <v>0,0000</v>
      </c>
      <c r="M62" s="18" t="s">
        <v>1351</v>
      </c>
    </row>
    <row r="63" spans="1:13">
      <c r="B63" s="5" t="s">
        <v>30</v>
      </c>
    </row>
    <row r="64" spans="1:13" ht="16">
      <c r="A64" s="33" t="s">
        <v>148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3">
      <c r="A65" s="8" t="s">
        <v>29</v>
      </c>
      <c r="B65" s="7" t="s">
        <v>1062</v>
      </c>
      <c r="C65" s="7" t="s">
        <v>1236</v>
      </c>
      <c r="D65" s="7" t="s">
        <v>1063</v>
      </c>
      <c r="E65" s="7" t="s">
        <v>1512</v>
      </c>
      <c r="F65" s="7" t="s">
        <v>1403</v>
      </c>
      <c r="G65" s="15" t="s">
        <v>38</v>
      </c>
      <c r="H65" s="14" t="s">
        <v>38</v>
      </c>
      <c r="I65" s="15" t="s">
        <v>39</v>
      </c>
      <c r="J65" s="8"/>
      <c r="K65" s="8" t="str">
        <f>"62,5"</f>
        <v>62,5</v>
      </c>
      <c r="L65" s="8" t="str">
        <f>"34,9625"</f>
        <v>34,9625</v>
      </c>
      <c r="M65" s="7" t="s">
        <v>1064</v>
      </c>
    </row>
    <row r="66" spans="1:13">
      <c r="B66" s="5" t="s">
        <v>30</v>
      </c>
    </row>
    <row r="67" spans="1:13">
      <c r="B67" s="5" t="s">
        <v>30</v>
      </c>
    </row>
    <row r="68" spans="1:13">
      <c r="B68" s="5" t="s">
        <v>30</v>
      </c>
    </row>
    <row r="69" spans="1:13" ht="18">
      <c r="B69" s="9" t="s">
        <v>20</v>
      </c>
      <c r="C69" s="9"/>
      <c r="F69" s="3"/>
    </row>
    <row r="70" spans="1:13" ht="16">
      <c r="B70" s="10" t="s">
        <v>172</v>
      </c>
      <c r="C70" s="10"/>
      <c r="F70" s="3"/>
    </row>
    <row r="71" spans="1:13" ht="14">
      <c r="B71" s="11"/>
      <c r="C71" s="12" t="s">
        <v>175</v>
      </c>
      <c r="F71" s="3"/>
    </row>
    <row r="72" spans="1:13" ht="14">
      <c r="B72" s="13" t="s">
        <v>23</v>
      </c>
      <c r="C72" s="13" t="s">
        <v>24</v>
      </c>
      <c r="D72" s="13" t="s">
        <v>1347</v>
      </c>
      <c r="E72" s="13" t="s">
        <v>575</v>
      </c>
      <c r="F72" s="13" t="s">
        <v>943</v>
      </c>
    </row>
    <row r="73" spans="1:13">
      <c r="B73" s="5" t="s">
        <v>227</v>
      </c>
      <c r="C73" s="5" t="s">
        <v>175</v>
      </c>
      <c r="D73" s="6" t="s">
        <v>418</v>
      </c>
      <c r="E73" s="6" t="s">
        <v>1017</v>
      </c>
      <c r="F73" s="6" t="s">
        <v>1065</v>
      </c>
    </row>
    <row r="74" spans="1:13">
      <c r="B74" s="5" t="s">
        <v>1018</v>
      </c>
      <c r="C74" s="5" t="s">
        <v>175</v>
      </c>
      <c r="D74" s="6" t="s">
        <v>173</v>
      </c>
      <c r="E74" s="6" t="s">
        <v>197</v>
      </c>
      <c r="F74" s="6" t="s">
        <v>1066</v>
      </c>
    </row>
    <row r="75" spans="1:13">
      <c r="B75" s="5" t="s">
        <v>934</v>
      </c>
      <c r="C75" s="5" t="s">
        <v>175</v>
      </c>
      <c r="D75" s="6" t="s">
        <v>173</v>
      </c>
      <c r="E75" s="6" t="s">
        <v>948</v>
      </c>
      <c r="F75" s="6" t="s">
        <v>1067</v>
      </c>
    </row>
    <row r="77" spans="1:13" ht="16">
      <c r="B77" s="10" t="s">
        <v>21</v>
      </c>
      <c r="C77" s="10"/>
    </row>
    <row r="78" spans="1:13" ht="14">
      <c r="B78" s="11"/>
      <c r="C78" s="12" t="s">
        <v>175</v>
      </c>
    </row>
    <row r="79" spans="1:13" ht="14">
      <c r="B79" s="13" t="s">
        <v>23</v>
      </c>
      <c r="C79" s="13" t="s">
        <v>24</v>
      </c>
      <c r="D79" s="13" t="s">
        <v>1347</v>
      </c>
      <c r="E79" s="13" t="s">
        <v>575</v>
      </c>
      <c r="F79" s="13" t="s">
        <v>943</v>
      </c>
    </row>
    <row r="80" spans="1:13">
      <c r="B80" s="5" t="s">
        <v>1040</v>
      </c>
      <c r="C80" s="5" t="s">
        <v>175</v>
      </c>
      <c r="D80" s="6" t="s">
        <v>426</v>
      </c>
      <c r="E80" s="6" t="s">
        <v>52</v>
      </c>
      <c r="F80" s="6" t="s">
        <v>1068</v>
      </c>
    </row>
    <row r="81" spans="2:6">
      <c r="B81" s="5" t="s">
        <v>1028</v>
      </c>
      <c r="C81" s="5" t="s">
        <v>175</v>
      </c>
      <c r="D81" s="6" t="s">
        <v>417</v>
      </c>
      <c r="E81" s="6" t="s">
        <v>1031</v>
      </c>
      <c r="F81" s="6" t="s">
        <v>1069</v>
      </c>
    </row>
    <row r="82" spans="2:6">
      <c r="B82" s="5" t="s">
        <v>1032</v>
      </c>
      <c r="C82" s="5" t="s">
        <v>175</v>
      </c>
      <c r="D82" s="6" t="s">
        <v>417</v>
      </c>
      <c r="E82" s="6" t="s">
        <v>1035</v>
      </c>
      <c r="F82" s="6" t="s">
        <v>1070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6:J26"/>
    <mergeCell ref="A29:J29"/>
    <mergeCell ref="K3:K4"/>
    <mergeCell ref="L3:L4"/>
    <mergeCell ref="M3:M4"/>
    <mergeCell ref="A5:J5"/>
    <mergeCell ref="B3:B4"/>
    <mergeCell ref="A9:J9"/>
    <mergeCell ref="A16:J16"/>
    <mergeCell ref="A20:J20"/>
    <mergeCell ref="A23:J23"/>
    <mergeCell ref="A36:J36"/>
    <mergeCell ref="A43:J43"/>
    <mergeCell ref="A52:J52"/>
    <mergeCell ref="A60:J60"/>
    <mergeCell ref="A64:J6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55"/>
  <sheetViews>
    <sheetView tabSelected="1" topLeftCell="A14" workbookViewId="0">
      <selection activeCell="E39" sqref="E39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7.5" style="6" bestFit="1" customWidth="1"/>
    <col min="13" max="13" width="17.83203125" style="5" bestFit="1" customWidth="1"/>
    <col min="14" max="16384" width="9.1640625" style="3"/>
  </cols>
  <sheetData>
    <row r="1" spans="1:13" s="2" customFormat="1" ht="29" customHeight="1">
      <c r="A1" s="44" t="s">
        <v>1343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1503</v>
      </c>
      <c r="H3" s="38"/>
      <c r="I3" s="38"/>
      <c r="J3" s="38"/>
      <c r="K3" s="36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7"/>
      <c r="L4" s="39"/>
      <c r="M4" s="41"/>
    </row>
    <row r="5" spans="1:13" ht="16">
      <c r="A5" s="42" t="s">
        <v>275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974</v>
      </c>
      <c r="C6" s="7" t="s">
        <v>1237</v>
      </c>
      <c r="D6" s="7" t="s">
        <v>975</v>
      </c>
      <c r="E6" s="7" t="s">
        <v>1511</v>
      </c>
      <c r="F6" s="7" t="s">
        <v>1451</v>
      </c>
      <c r="G6" s="14" t="s">
        <v>948</v>
      </c>
      <c r="H6" s="15" t="s">
        <v>264</v>
      </c>
      <c r="I6" s="15" t="s">
        <v>264</v>
      </c>
      <c r="J6" s="8"/>
      <c r="K6" s="31" t="str">
        <f>"32,5"</f>
        <v>32,5</v>
      </c>
      <c r="L6" s="8" t="str">
        <f>"29,7570"</f>
        <v>29,7570</v>
      </c>
      <c r="M6" s="7" t="s">
        <v>976</v>
      </c>
    </row>
    <row r="7" spans="1:13">
      <c r="B7" s="5" t="s">
        <v>30</v>
      </c>
    </row>
    <row r="8" spans="1:13" ht="16">
      <c r="A8" s="33" t="s">
        <v>226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29</v>
      </c>
      <c r="B9" s="7" t="s">
        <v>977</v>
      </c>
      <c r="C9" s="7" t="s">
        <v>1227</v>
      </c>
      <c r="D9" s="7" t="s">
        <v>978</v>
      </c>
      <c r="E9" s="7" t="s">
        <v>1508</v>
      </c>
      <c r="F9" s="7" t="s">
        <v>1419</v>
      </c>
      <c r="G9" s="14" t="s">
        <v>223</v>
      </c>
      <c r="H9" s="14" t="s">
        <v>218</v>
      </c>
      <c r="I9" s="15" t="s">
        <v>219</v>
      </c>
      <c r="J9" s="8"/>
      <c r="K9" s="31" t="str">
        <f>"50,0"</f>
        <v>50,0</v>
      </c>
      <c r="L9" s="8" t="str">
        <f>"51,4350"</f>
        <v>51,4350</v>
      </c>
      <c r="M9" s="7" t="s">
        <v>315</v>
      </c>
    </row>
    <row r="10" spans="1:13">
      <c r="B10" s="5" t="s">
        <v>30</v>
      </c>
    </row>
    <row r="11" spans="1:13" ht="16">
      <c r="A11" s="33" t="s">
        <v>275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29</v>
      </c>
      <c r="B12" s="7" t="s">
        <v>979</v>
      </c>
      <c r="C12" s="7" t="s">
        <v>1238</v>
      </c>
      <c r="D12" s="7" t="s">
        <v>289</v>
      </c>
      <c r="E12" s="7" t="s">
        <v>1511</v>
      </c>
      <c r="F12" s="7" t="s">
        <v>1501</v>
      </c>
      <c r="G12" s="14" t="s">
        <v>211</v>
      </c>
      <c r="H12" s="14" t="s">
        <v>212</v>
      </c>
      <c r="I12" s="14" t="s">
        <v>39</v>
      </c>
      <c r="J12" s="8"/>
      <c r="K12" s="31" t="str">
        <f>"65,0"</f>
        <v>65,0</v>
      </c>
      <c r="L12" s="8" t="str">
        <f>"50,1540"</f>
        <v>50,1540</v>
      </c>
      <c r="M12" s="7" t="s">
        <v>315</v>
      </c>
    </row>
    <row r="13" spans="1:13">
      <c r="B13" s="5" t="s">
        <v>30</v>
      </c>
    </row>
    <row r="14" spans="1:13" ht="16">
      <c r="A14" s="33" t="s">
        <v>67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29</v>
      </c>
      <c r="B15" s="7" t="s">
        <v>68</v>
      </c>
      <c r="C15" s="7" t="s">
        <v>69</v>
      </c>
      <c r="D15" s="7" t="s">
        <v>70</v>
      </c>
      <c r="E15" s="7" t="s">
        <v>1509</v>
      </c>
      <c r="F15" s="7" t="s">
        <v>71</v>
      </c>
      <c r="G15" s="14" t="s">
        <v>211</v>
      </c>
      <c r="H15" s="14" t="s">
        <v>212</v>
      </c>
      <c r="I15" s="14" t="s">
        <v>39</v>
      </c>
      <c r="J15" s="8"/>
      <c r="K15" s="31" t="str">
        <f>"65,0"</f>
        <v>65,0</v>
      </c>
      <c r="L15" s="8" t="str">
        <f>"45,1100"</f>
        <v>45,1100</v>
      </c>
      <c r="M15" s="7" t="s">
        <v>315</v>
      </c>
    </row>
    <row r="16" spans="1:13">
      <c r="B16" s="5" t="s">
        <v>30</v>
      </c>
    </row>
    <row r="17" spans="1:13" ht="16">
      <c r="A17" s="33" t="s">
        <v>79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3">
      <c r="A18" s="17" t="s">
        <v>29</v>
      </c>
      <c r="B18" s="16" t="s">
        <v>980</v>
      </c>
      <c r="C18" s="16" t="s">
        <v>981</v>
      </c>
      <c r="D18" s="16" t="s">
        <v>679</v>
      </c>
      <c r="E18" s="16" t="s">
        <v>1509</v>
      </c>
      <c r="F18" s="16" t="s">
        <v>1404</v>
      </c>
      <c r="G18" s="22" t="s">
        <v>252</v>
      </c>
      <c r="H18" s="22" t="s">
        <v>210</v>
      </c>
      <c r="I18" s="22" t="s">
        <v>35</v>
      </c>
      <c r="J18" s="17"/>
      <c r="K18" s="29" t="str">
        <f>"100,0"</f>
        <v>100,0</v>
      </c>
      <c r="L18" s="17" t="str">
        <f>"66,2350"</f>
        <v>66,2350</v>
      </c>
      <c r="M18" s="16" t="s">
        <v>315</v>
      </c>
    </row>
    <row r="19" spans="1:13">
      <c r="A19" s="19" t="s">
        <v>29</v>
      </c>
      <c r="B19" s="18" t="s">
        <v>982</v>
      </c>
      <c r="C19" s="18" t="s">
        <v>1239</v>
      </c>
      <c r="D19" s="18" t="s">
        <v>983</v>
      </c>
      <c r="E19" s="18" t="s">
        <v>1510</v>
      </c>
      <c r="F19" s="18" t="s">
        <v>1404</v>
      </c>
      <c r="G19" s="24" t="s">
        <v>219</v>
      </c>
      <c r="H19" s="24" t="s">
        <v>236</v>
      </c>
      <c r="I19" s="25" t="s">
        <v>212</v>
      </c>
      <c r="J19" s="19"/>
      <c r="K19" s="30" t="str">
        <f>"57,5"</f>
        <v>57,5</v>
      </c>
      <c r="L19" s="19" t="str">
        <f>"49,3674"</f>
        <v>49,3674</v>
      </c>
      <c r="M19" s="18" t="s">
        <v>315</v>
      </c>
    </row>
    <row r="20" spans="1:13">
      <c r="B20" s="5" t="s">
        <v>30</v>
      </c>
    </row>
    <row r="21" spans="1:13" ht="16">
      <c r="A21" s="33" t="s">
        <v>98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17" t="s">
        <v>29</v>
      </c>
      <c r="B22" s="16" t="s">
        <v>984</v>
      </c>
      <c r="C22" s="16" t="s">
        <v>985</v>
      </c>
      <c r="D22" s="16" t="s">
        <v>986</v>
      </c>
      <c r="E22" s="16" t="s">
        <v>1509</v>
      </c>
      <c r="F22" s="16" t="s">
        <v>1502</v>
      </c>
      <c r="G22" s="23" t="s">
        <v>51</v>
      </c>
      <c r="H22" s="23" t="s">
        <v>51</v>
      </c>
      <c r="I22" s="22" t="s">
        <v>51</v>
      </c>
      <c r="J22" s="17"/>
      <c r="K22" s="29" t="str">
        <f>"80,0"</f>
        <v>80,0</v>
      </c>
      <c r="L22" s="17" t="str">
        <f>"50,2160"</f>
        <v>50,2160</v>
      </c>
      <c r="M22" s="16" t="s">
        <v>315</v>
      </c>
    </row>
    <row r="23" spans="1:13">
      <c r="A23" s="21" t="s">
        <v>189</v>
      </c>
      <c r="B23" s="20" t="s">
        <v>987</v>
      </c>
      <c r="C23" s="20" t="s">
        <v>988</v>
      </c>
      <c r="D23" s="20" t="s">
        <v>989</v>
      </c>
      <c r="E23" s="20" t="s">
        <v>1509</v>
      </c>
      <c r="F23" s="20" t="s">
        <v>1403</v>
      </c>
      <c r="G23" s="26" t="s">
        <v>50</v>
      </c>
      <c r="H23" s="26" t="s">
        <v>245</v>
      </c>
      <c r="I23" s="27" t="s">
        <v>51</v>
      </c>
      <c r="J23" s="21"/>
      <c r="K23" s="32" t="str">
        <f>"77,5"</f>
        <v>77,5</v>
      </c>
      <c r="L23" s="21" t="str">
        <f>"48,4453"</f>
        <v>48,4453</v>
      </c>
      <c r="M23" s="20" t="s">
        <v>315</v>
      </c>
    </row>
    <row r="24" spans="1:13">
      <c r="A24" s="21" t="s">
        <v>190</v>
      </c>
      <c r="B24" s="20" t="s">
        <v>990</v>
      </c>
      <c r="C24" s="20" t="s">
        <v>991</v>
      </c>
      <c r="D24" s="20" t="s">
        <v>992</v>
      </c>
      <c r="E24" s="20" t="s">
        <v>1509</v>
      </c>
      <c r="F24" s="20" t="s">
        <v>1453</v>
      </c>
      <c r="G24" s="26" t="s">
        <v>171</v>
      </c>
      <c r="H24" s="27" t="s">
        <v>50</v>
      </c>
      <c r="I24" s="26" t="s">
        <v>50</v>
      </c>
      <c r="J24" s="21"/>
      <c r="K24" s="32" t="str">
        <f>"75,0"</f>
        <v>75,0</v>
      </c>
      <c r="L24" s="21" t="str">
        <f>"47,1450"</f>
        <v>47,1450</v>
      </c>
      <c r="M24" s="20" t="s">
        <v>993</v>
      </c>
    </row>
    <row r="25" spans="1:13">
      <c r="A25" s="21" t="s">
        <v>437</v>
      </c>
      <c r="B25" s="20" t="s">
        <v>963</v>
      </c>
      <c r="C25" s="20" t="s">
        <v>964</v>
      </c>
      <c r="D25" s="20" t="s">
        <v>871</v>
      </c>
      <c r="E25" s="20" t="s">
        <v>1509</v>
      </c>
      <c r="F25" s="20" t="s">
        <v>965</v>
      </c>
      <c r="G25" s="26" t="s">
        <v>171</v>
      </c>
      <c r="H25" s="27" t="s">
        <v>283</v>
      </c>
      <c r="I25" s="27" t="s">
        <v>283</v>
      </c>
      <c r="J25" s="21"/>
      <c r="K25" s="32" t="str">
        <f>"70,0"</f>
        <v>70,0</v>
      </c>
      <c r="L25" s="21" t="str">
        <f>"43,1235"</f>
        <v>43,1235</v>
      </c>
      <c r="M25" s="20" t="s">
        <v>966</v>
      </c>
    </row>
    <row r="26" spans="1:13">
      <c r="A26" s="19" t="s">
        <v>29</v>
      </c>
      <c r="B26" s="18" t="s">
        <v>987</v>
      </c>
      <c r="C26" s="18" t="s">
        <v>1240</v>
      </c>
      <c r="D26" s="18" t="s">
        <v>989</v>
      </c>
      <c r="E26" s="18" t="s">
        <v>1511</v>
      </c>
      <c r="F26" s="18" t="s">
        <v>1403</v>
      </c>
      <c r="G26" s="24" t="s">
        <v>50</v>
      </c>
      <c r="H26" s="24" t="s">
        <v>245</v>
      </c>
      <c r="I26" s="25" t="s">
        <v>51</v>
      </c>
      <c r="J26" s="19"/>
      <c r="K26" s="30" t="str">
        <f>"77,5"</f>
        <v>77,5</v>
      </c>
      <c r="L26" s="19" t="str">
        <f>"49,9471"</f>
        <v>49,9471</v>
      </c>
      <c r="M26" s="18" t="s">
        <v>485</v>
      </c>
    </row>
    <row r="27" spans="1:13">
      <c r="B27" s="5" t="s">
        <v>30</v>
      </c>
    </row>
    <row r="28" spans="1:13" ht="16">
      <c r="A28" s="33" t="s">
        <v>122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3">
      <c r="A29" s="17" t="s">
        <v>191</v>
      </c>
      <c r="B29" s="16" t="s">
        <v>941</v>
      </c>
      <c r="C29" s="16" t="s">
        <v>942</v>
      </c>
      <c r="D29" s="16" t="s">
        <v>532</v>
      </c>
      <c r="E29" s="16" t="s">
        <v>1509</v>
      </c>
      <c r="F29" s="16" t="s">
        <v>1496</v>
      </c>
      <c r="G29" s="23" t="s">
        <v>171</v>
      </c>
      <c r="H29" s="17"/>
      <c r="I29" s="17"/>
      <c r="J29" s="17"/>
      <c r="K29" s="29">
        <v>0</v>
      </c>
      <c r="L29" s="17" t="str">
        <f>"0,0000"</f>
        <v>0,0000</v>
      </c>
      <c r="M29" s="16" t="s">
        <v>315</v>
      </c>
    </row>
    <row r="30" spans="1:13">
      <c r="A30" s="21" t="s">
        <v>29</v>
      </c>
      <c r="B30" s="20" t="s">
        <v>994</v>
      </c>
      <c r="C30" s="20" t="s">
        <v>1241</v>
      </c>
      <c r="D30" s="20" t="s">
        <v>995</v>
      </c>
      <c r="E30" s="20" t="s">
        <v>1511</v>
      </c>
      <c r="F30" s="20" t="s">
        <v>1409</v>
      </c>
      <c r="G30" s="26" t="s">
        <v>59</v>
      </c>
      <c r="H30" s="26" t="s">
        <v>220</v>
      </c>
      <c r="I30" s="27" t="s">
        <v>204</v>
      </c>
      <c r="J30" s="21"/>
      <c r="K30" s="32" t="str">
        <f>"87,5"</f>
        <v>87,5</v>
      </c>
      <c r="L30" s="21" t="str">
        <f>"51,8452"</f>
        <v>51,8452</v>
      </c>
      <c r="M30" s="20" t="s">
        <v>315</v>
      </c>
    </row>
    <row r="31" spans="1:13">
      <c r="A31" s="21" t="s">
        <v>189</v>
      </c>
      <c r="B31" s="20" t="s">
        <v>996</v>
      </c>
      <c r="C31" s="20" t="s">
        <v>1242</v>
      </c>
      <c r="D31" s="20" t="s">
        <v>997</v>
      </c>
      <c r="E31" s="20" t="s">
        <v>1511</v>
      </c>
      <c r="F31" s="20" t="s">
        <v>1412</v>
      </c>
      <c r="G31" s="26" t="s">
        <v>236</v>
      </c>
      <c r="H31" s="26" t="s">
        <v>212</v>
      </c>
      <c r="I31" s="26" t="s">
        <v>38</v>
      </c>
      <c r="J31" s="21"/>
      <c r="K31" s="32" t="str">
        <f>"62,5"</f>
        <v>62,5</v>
      </c>
      <c r="L31" s="21" t="str">
        <f>"38,1862"</f>
        <v>38,1862</v>
      </c>
      <c r="M31" s="20" t="s">
        <v>1352</v>
      </c>
    </row>
    <row r="32" spans="1:13">
      <c r="A32" s="21" t="s">
        <v>29</v>
      </c>
      <c r="B32" s="20" t="s">
        <v>998</v>
      </c>
      <c r="C32" s="20" t="s">
        <v>999</v>
      </c>
      <c r="D32" s="20" t="s">
        <v>1000</v>
      </c>
      <c r="E32" s="20" t="s">
        <v>1518</v>
      </c>
      <c r="F32" s="20" t="s">
        <v>1403</v>
      </c>
      <c r="G32" s="26" t="s">
        <v>218</v>
      </c>
      <c r="H32" s="27" t="s">
        <v>211</v>
      </c>
      <c r="I32" s="26" t="s">
        <v>211</v>
      </c>
      <c r="J32" s="21"/>
      <c r="K32" s="32" t="str">
        <f>"55,0"</f>
        <v>55,0</v>
      </c>
      <c r="L32" s="21" t="str">
        <f>"47,7463"</f>
        <v>47,7463</v>
      </c>
      <c r="M32" s="20" t="s">
        <v>315</v>
      </c>
    </row>
    <row r="33" spans="1:13">
      <c r="A33" s="19" t="s">
        <v>189</v>
      </c>
      <c r="B33" s="18" t="s">
        <v>1001</v>
      </c>
      <c r="C33" s="18" t="s">
        <v>1002</v>
      </c>
      <c r="D33" s="18" t="s">
        <v>124</v>
      </c>
      <c r="E33" s="18" t="s">
        <v>1518</v>
      </c>
      <c r="F33" s="18" t="s">
        <v>1404</v>
      </c>
      <c r="G33" s="24" t="s">
        <v>244</v>
      </c>
      <c r="H33" s="24" t="s">
        <v>197</v>
      </c>
      <c r="I33" s="25" t="s">
        <v>223</v>
      </c>
      <c r="J33" s="19"/>
      <c r="K33" s="30" t="str">
        <f>"45,0"</f>
        <v>45,0</v>
      </c>
      <c r="L33" s="19" t="str">
        <f>"53,6249"</f>
        <v>53,6249</v>
      </c>
      <c r="M33" s="18" t="s">
        <v>496</v>
      </c>
    </row>
    <row r="34" spans="1:13">
      <c r="B34" s="5" t="s">
        <v>30</v>
      </c>
    </row>
    <row r="35" spans="1:13" ht="16">
      <c r="A35" s="33" t="s">
        <v>148</v>
      </c>
      <c r="B35" s="33"/>
      <c r="C35" s="33"/>
      <c r="D35" s="33"/>
      <c r="E35" s="33"/>
      <c r="F35" s="33"/>
      <c r="G35" s="33"/>
      <c r="H35" s="33"/>
      <c r="I35" s="33"/>
      <c r="J35" s="33"/>
    </row>
    <row r="36" spans="1:13">
      <c r="A36" s="17" t="s">
        <v>29</v>
      </c>
      <c r="B36" s="16" t="s">
        <v>1003</v>
      </c>
      <c r="C36" s="16" t="s">
        <v>1004</v>
      </c>
      <c r="D36" s="16" t="s">
        <v>1005</v>
      </c>
      <c r="E36" s="16" t="s">
        <v>1509</v>
      </c>
      <c r="F36" s="16" t="s">
        <v>1480</v>
      </c>
      <c r="G36" s="22" t="s">
        <v>35</v>
      </c>
      <c r="H36" s="22" t="s">
        <v>37</v>
      </c>
      <c r="I36" s="17"/>
      <c r="J36" s="17"/>
      <c r="K36" s="29" t="str">
        <f>"110,0"</f>
        <v>110,0</v>
      </c>
      <c r="L36" s="17" t="str">
        <f>"60,7200"</f>
        <v>60,7200</v>
      </c>
      <c r="M36" s="16" t="s">
        <v>315</v>
      </c>
    </row>
    <row r="37" spans="1:13">
      <c r="A37" s="21" t="s">
        <v>189</v>
      </c>
      <c r="B37" s="20" t="s">
        <v>1006</v>
      </c>
      <c r="C37" s="20" t="s">
        <v>1007</v>
      </c>
      <c r="D37" s="20" t="s">
        <v>751</v>
      </c>
      <c r="E37" s="20" t="s">
        <v>1509</v>
      </c>
      <c r="F37" s="20" t="s">
        <v>1403</v>
      </c>
      <c r="G37" s="26" t="s">
        <v>51</v>
      </c>
      <c r="H37" s="26" t="s">
        <v>59</v>
      </c>
      <c r="I37" s="26" t="s">
        <v>204</v>
      </c>
      <c r="J37" s="21"/>
      <c r="K37" s="32" t="str">
        <f>"90,0"</f>
        <v>90,0</v>
      </c>
      <c r="L37" s="21" t="str">
        <f>"50,2335"</f>
        <v>50,2335</v>
      </c>
      <c r="M37" s="20" t="s">
        <v>315</v>
      </c>
    </row>
    <row r="38" spans="1:13">
      <c r="A38" s="19" t="s">
        <v>29</v>
      </c>
      <c r="B38" s="18" t="s">
        <v>1006</v>
      </c>
      <c r="C38" s="18" t="s">
        <v>1223</v>
      </c>
      <c r="D38" s="18" t="s">
        <v>751</v>
      </c>
      <c r="E38" s="18" t="s">
        <v>1511</v>
      </c>
      <c r="F38" s="18" t="s">
        <v>1403</v>
      </c>
      <c r="G38" s="24" t="s">
        <v>51</v>
      </c>
      <c r="H38" s="24" t="s">
        <v>59</v>
      </c>
      <c r="I38" s="24" t="s">
        <v>204</v>
      </c>
      <c r="J38" s="19"/>
      <c r="K38" s="30" t="str">
        <f>"90,0"</f>
        <v>90,0</v>
      </c>
      <c r="L38" s="19" t="str">
        <f>"50,7358"</f>
        <v>50,7358</v>
      </c>
      <c r="M38" s="18" t="s">
        <v>315</v>
      </c>
    </row>
    <row r="39" spans="1:13">
      <c r="B39" s="5" t="s">
        <v>30</v>
      </c>
    </row>
    <row r="40" spans="1:13">
      <c r="B40" s="5" t="s">
        <v>30</v>
      </c>
    </row>
    <row r="41" spans="1:13">
      <c r="B41" s="5" t="s">
        <v>30</v>
      </c>
    </row>
    <row r="42" spans="1:13" ht="18">
      <c r="B42" s="9" t="s">
        <v>20</v>
      </c>
      <c r="C42" s="9"/>
      <c r="F42" s="3"/>
    </row>
    <row r="43" spans="1:13" ht="16">
      <c r="B43" s="10" t="s">
        <v>21</v>
      </c>
      <c r="C43" s="10"/>
      <c r="F43" s="3"/>
    </row>
    <row r="44" spans="1:13" ht="14">
      <c r="B44" s="11"/>
      <c r="C44" s="12" t="s">
        <v>175</v>
      </c>
      <c r="F44" s="3"/>
    </row>
    <row r="45" spans="1:13" ht="14">
      <c r="B45" s="13" t="s">
        <v>23</v>
      </c>
      <c r="C45" s="13" t="s">
        <v>24</v>
      </c>
      <c r="D45" s="13" t="s">
        <v>25</v>
      </c>
      <c r="E45" s="13" t="s">
        <v>575</v>
      </c>
      <c r="F45" s="13" t="s">
        <v>943</v>
      </c>
    </row>
    <row r="46" spans="1:13">
      <c r="B46" s="5" t="s">
        <v>980</v>
      </c>
      <c r="C46" s="5" t="s">
        <v>175</v>
      </c>
      <c r="D46" s="6" t="s">
        <v>182</v>
      </c>
      <c r="E46" s="6" t="s">
        <v>35</v>
      </c>
      <c r="F46" s="6" t="s">
        <v>1008</v>
      </c>
    </row>
    <row r="47" spans="1:13">
      <c r="B47" s="5" t="s">
        <v>1003</v>
      </c>
      <c r="C47" s="5" t="s">
        <v>175</v>
      </c>
      <c r="D47" s="6" t="s">
        <v>178</v>
      </c>
      <c r="E47" s="6" t="s">
        <v>37</v>
      </c>
      <c r="F47" s="6" t="s">
        <v>1009</v>
      </c>
    </row>
    <row r="48" spans="1:13">
      <c r="B48" s="5" t="s">
        <v>1006</v>
      </c>
      <c r="C48" s="5" t="s">
        <v>175</v>
      </c>
      <c r="D48" s="6" t="s">
        <v>178</v>
      </c>
      <c r="E48" s="6" t="s">
        <v>204</v>
      </c>
      <c r="F48" s="6" t="s">
        <v>1010</v>
      </c>
    </row>
    <row r="50" spans="2:6" ht="14">
      <c r="B50" s="11"/>
      <c r="C50" s="12" t="s">
        <v>22</v>
      </c>
    </row>
    <row r="51" spans="2:6" ht="14">
      <c r="B51" s="13" t="s">
        <v>23</v>
      </c>
      <c r="C51" s="13" t="s">
        <v>24</v>
      </c>
      <c r="D51" s="13" t="s">
        <v>25</v>
      </c>
      <c r="E51" s="13" t="s">
        <v>575</v>
      </c>
      <c r="F51" s="13" t="s">
        <v>943</v>
      </c>
    </row>
    <row r="52" spans="2:6">
      <c r="B52" s="5" t="s">
        <v>1001</v>
      </c>
      <c r="C52" s="5" t="s">
        <v>944</v>
      </c>
      <c r="D52" s="6" t="s">
        <v>179</v>
      </c>
      <c r="E52" s="6" t="s">
        <v>197</v>
      </c>
      <c r="F52" s="6" t="s">
        <v>1011</v>
      </c>
    </row>
    <row r="53" spans="2:6">
      <c r="B53" s="5" t="s">
        <v>994</v>
      </c>
      <c r="C53" s="5" t="s">
        <v>1206</v>
      </c>
      <c r="D53" s="6" t="s">
        <v>179</v>
      </c>
      <c r="E53" s="6" t="s">
        <v>220</v>
      </c>
      <c r="F53" s="6" t="s">
        <v>1012</v>
      </c>
    </row>
    <row r="54" spans="2:6">
      <c r="B54" s="5" t="s">
        <v>1006</v>
      </c>
      <c r="C54" s="5" t="s">
        <v>1206</v>
      </c>
      <c r="D54" s="6" t="s">
        <v>178</v>
      </c>
      <c r="E54" s="6" t="s">
        <v>204</v>
      </c>
      <c r="F54" s="6" t="s">
        <v>1013</v>
      </c>
    </row>
    <row r="55" spans="2:6">
      <c r="B55" s="5" t="s">
        <v>30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5:J35"/>
    <mergeCell ref="B3:B4"/>
    <mergeCell ref="A8:J8"/>
    <mergeCell ref="A11:J11"/>
    <mergeCell ref="A14:J14"/>
    <mergeCell ref="A17:J17"/>
    <mergeCell ref="A21:J21"/>
    <mergeCell ref="A28:J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U21"/>
  <sheetViews>
    <sheetView workbookViewId="0">
      <selection activeCell="E21" sqref="E2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44" t="s">
        <v>1373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67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8" t="s">
        <v>29</v>
      </c>
      <c r="B6" s="7" t="s">
        <v>439</v>
      </c>
      <c r="C6" s="7" t="s">
        <v>440</v>
      </c>
      <c r="D6" s="7" t="s">
        <v>321</v>
      </c>
      <c r="E6" s="7" t="s">
        <v>1509</v>
      </c>
      <c r="F6" s="7" t="s">
        <v>1404</v>
      </c>
      <c r="G6" s="14" t="s">
        <v>65</v>
      </c>
      <c r="H6" s="15" t="s">
        <v>385</v>
      </c>
      <c r="I6" s="14" t="s">
        <v>385</v>
      </c>
      <c r="J6" s="8"/>
      <c r="K6" s="15" t="s">
        <v>204</v>
      </c>
      <c r="L6" s="14" t="s">
        <v>204</v>
      </c>
      <c r="M6" s="14" t="s">
        <v>49</v>
      </c>
      <c r="N6" s="8"/>
      <c r="O6" s="14" t="s">
        <v>385</v>
      </c>
      <c r="P6" s="15" t="s">
        <v>91</v>
      </c>
      <c r="Q6" s="14" t="s">
        <v>91</v>
      </c>
      <c r="R6" s="8"/>
      <c r="S6" s="8" t="str">
        <f>"495,0"</f>
        <v>495,0</v>
      </c>
      <c r="T6" s="8" t="str">
        <f>"477,0810"</f>
        <v>477,0810</v>
      </c>
      <c r="U6" s="7" t="s">
        <v>441</v>
      </c>
    </row>
    <row r="7" spans="1:21">
      <c r="B7" s="5" t="s">
        <v>30</v>
      </c>
    </row>
    <row r="8" spans="1:21" ht="16">
      <c r="A8" s="33" t="s">
        <v>98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7" t="s">
        <v>29</v>
      </c>
      <c r="B9" s="16" t="s">
        <v>442</v>
      </c>
      <c r="C9" s="16" t="s">
        <v>443</v>
      </c>
      <c r="D9" s="16" t="s">
        <v>444</v>
      </c>
      <c r="E9" s="16" t="s">
        <v>1509</v>
      </c>
      <c r="F9" s="16" t="s">
        <v>1403</v>
      </c>
      <c r="G9" s="22" t="s">
        <v>14</v>
      </c>
      <c r="H9" s="22" t="s">
        <v>120</v>
      </c>
      <c r="I9" s="22" t="s">
        <v>337</v>
      </c>
      <c r="J9" s="17"/>
      <c r="K9" s="22" t="s">
        <v>84</v>
      </c>
      <c r="L9" s="23" t="s">
        <v>73</v>
      </c>
      <c r="M9" s="23" t="s">
        <v>64</v>
      </c>
      <c r="N9" s="17"/>
      <c r="O9" s="22" t="s">
        <v>86</v>
      </c>
      <c r="P9" s="22" t="s">
        <v>15</v>
      </c>
      <c r="Q9" s="23" t="s">
        <v>125</v>
      </c>
      <c r="R9" s="17"/>
      <c r="S9" s="17" t="str">
        <f>"710,0"</f>
        <v>710,0</v>
      </c>
      <c r="T9" s="17" t="str">
        <f>"469,0260"</f>
        <v>469,0260</v>
      </c>
      <c r="U9" s="16" t="s">
        <v>445</v>
      </c>
    </row>
    <row r="10" spans="1:21">
      <c r="A10" s="21" t="s">
        <v>189</v>
      </c>
      <c r="B10" s="20" t="s">
        <v>446</v>
      </c>
      <c r="C10" s="20" t="s">
        <v>447</v>
      </c>
      <c r="D10" s="20" t="s">
        <v>448</v>
      </c>
      <c r="E10" s="20" t="s">
        <v>1509</v>
      </c>
      <c r="F10" s="20" t="s">
        <v>1432</v>
      </c>
      <c r="G10" s="26" t="s">
        <v>15</v>
      </c>
      <c r="H10" s="27" t="s">
        <v>449</v>
      </c>
      <c r="I10" s="27" t="s">
        <v>449</v>
      </c>
      <c r="J10" s="21"/>
      <c r="K10" s="27" t="s">
        <v>63</v>
      </c>
      <c r="L10" s="26" t="s">
        <v>84</v>
      </c>
      <c r="M10" s="27" t="s">
        <v>72</v>
      </c>
      <c r="N10" s="21"/>
      <c r="O10" s="27" t="s">
        <v>112</v>
      </c>
      <c r="P10" s="26" t="s">
        <v>86</v>
      </c>
      <c r="Q10" s="26" t="s">
        <v>450</v>
      </c>
      <c r="R10" s="21"/>
      <c r="S10" s="21" t="str">
        <f>"707,5"</f>
        <v>707,5</v>
      </c>
      <c r="T10" s="21" t="str">
        <f>"454,0028"</f>
        <v>454,0028</v>
      </c>
      <c r="U10" s="20" t="s">
        <v>315</v>
      </c>
    </row>
    <row r="11" spans="1:21">
      <c r="A11" s="21" t="s">
        <v>190</v>
      </c>
      <c r="B11" s="20" t="s">
        <v>451</v>
      </c>
      <c r="C11" s="20" t="s">
        <v>452</v>
      </c>
      <c r="D11" s="20" t="s">
        <v>444</v>
      </c>
      <c r="E11" s="20" t="s">
        <v>1509</v>
      </c>
      <c r="F11" s="20" t="s">
        <v>1433</v>
      </c>
      <c r="G11" s="26" t="s">
        <v>66</v>
      </c>
      <c r="H11" s="26" t="s">
        <v>78</v>
      </c>
      <c r="I11" s="26" t="s">
        <v>319</v>
      </c>
      <c r="J11" s="21"/>
      <c r="K11" s="26" t="s">
        <v>118</v>
      </c>
      <c r="L11" s="26" t="s">
        <v>134</v>
      </c>
      <c r="M11" s="26" t="s">
        <v>63</v>
      </c>
      <c r="N11" s="21"/>
      <c r="O11" s="26" t="s">
        <v>112</v>
      </c>
      <c r="P11" s="27" t="s">
        <v>120</v>
      </c>
      <c r="Q11" s="26" t="s">
        <v>120</v>
      </c>
      <c r="R11" s="21"/>
      <c r="S11" s="21" t="str">
        <f>"657,5"</f>
        <v>657,5</v>
      </c>
      <c r="T11" s="21" t="str">
        <f>"434,3445"</f>
        <v>434,3445</v>
      </c>
      <c r="U11" s="20" t="s">
        <v>453</v>
      </c>
    </row>
    <row r="12" spans="1:21">
      <c r="A12" s="21" t="s">
        <v>437</v>
      </c>
      <c r="B12" s="20" t="s">
        <v>454</v>
      </c>
      <c r="C12" s="20" t="s">
        <v>455</v>
      </c>
      <c r="D12" s="20" t="s">
        <v>356</v>
      </c>
      <c r="E12" s="20" t="s">
        <v>1509</v>
      </c>
      <c r="F12" s="20" t="s">
        <v>1400</v>
      </c>
      <c r="G12" s="26" t="s">
        <v>64</v>
      </c>
      <c r="H12" s="27" t="s">
        <v>385</v>
      </c>
      <c r="I12" s="26" t="s">
        <v>385</v>
      </c>
      <c r="J12" s="21"/>
      <c r="K12" s="26" t="s">
        <v>214</v>
      </c>
      <c r="L12" s="26" t="s">
        <v>41</v>
      </c>
      <c r="M12" s="26" t="s">
        <v>109</v>
      </c>
      <c r="N12" s="21"/>
      <c r="O12" s="26" t="s">
        <v>90</v>
      </c>
      <c r="P12" s="26" t="s">
        <v>66</v>
      </c>
      <c r="Q12" s="26" t="s">
        <v>108</v>
      </c>
      <c r="R12" s="21"/>
      <c r="S12" s="21" t="str">
        <f>"540,0"</f>
        <v>540,0</v>
      </c>
      <c r="T12" s="21" t="str">
        <f>"344,9520"</f>
        <v>344,9520</v>
      </c>
      <c r="U12" s="20" t="s">
        <v>315</v>
      </c>
    </row>
    <row r="13" spans="1:21">
      <c r="A13" s="21" t="s">
        <v>29</v>
      </c>
      <c r="B13" s="20" t="s">
        <v>456</v>
      </c>
      <c r="C13" s="20" t="s">
        <v>1317</v>
      </c>
      <c r="D13" s="20" t="s">
        <v>457</v>
      </c>
      <c r="E13" s="20" t="s">
        <v>1516</v>
      </c>
      <c r="F13" s="20" t="s">
        <v>1403</v>
      </c>
      <c r="G13" s="26" t="s">
        <v>90</v>
      </c>
      <c r="H13" s="27" t="s">
        <v>66</v>
      </c>
      <c r="I13" s="27" t="s">
        <v>66</v>
      </c>
      <c r="J13" s="21"/>
      <c r="K13" s="26" t="s">
        <v>49</v>
      </c>
      <c r="L13" s="26" t="s">
        <v>35</v>
      </c>
      <c r="M13" s="26" t="s">
        <v>36</v>
      </c>
      <c r="N13" s="21"/>
      <c r="O13" s="27" t="s">
        <v>108</v>
      </c>
      <c r="P13" s="26" t="s">
        <v>108</v>
      </c>
      <c r="Q13" s="27" t="s">
        <v>78</v>
      </c>
      <c r="R13" s="21"/>
      <c r="S13" s="21" t="str">
        <f>"505,0"</f>
        <v>505,0</v>
      </c>
      <c r="T13" s="21" t="str">
        <f>"448,5248"</f>
        <v>448,5248</v>
      </c>
      <c r="U13" s="20" t="s">
        <v>458</v>
      </c>
    </row>
    <row r="14" spans="1:21">
      <c r="A14" s="19" t="s">
        <v>29</v>
      </c>
      <c r="B14" s="18" t="s">
        <v>459</v>
      </c>
      <c r="C14" s="18" t="s">
        <v>1318</v>
      </c>
      <c r="D14" s="18" t="s">
        <v>353</v>
      </c>
      <c r="E14" s="18" t="s">
        <v>1517</v>
      </c>
      <c r="F14" s="18" t="s">
        <v>1403</v>
      </c>
      <c r="G14" s="24" t="s">
        <v>85</v>
      </c>
      <c r="H14" s="25" t="s">
        <v>90</v>
      </c>
      <c r="I14" s="25" t="s">
        <v>90</v>
      </c>
      <c r="J14" s="19"/>
      <c r="K14" s="24" t="s">
        <v>58</v>
      </c>
      <c r="L14" s="25" t="s">
        <v>41</v>
      </c>
      <c r="M14" s="25" t="s">
        <v>42</v>
      </c>
      <c r="N14" s="19"/>
      <c r="O14" s="24" t="s">
        <v>85</v>
      </c>
      <c r="P14" s="24" t="s">
        <v>90</v>
      </c>
      <c r="Q14" s="25" t="s">
        <v>66</v>
      </c>
      <c r="R14" s="19"/>
      <c r="S14" s="19" t="str">
        <f>"485,0"</f>
        <v>485,0</v>
      </c>
      <c r="T14" s="19" t="str">
        <f>"528,5045"</f>
        <v>528,5045</v>
      </c>
      <c r="U14" s="18" t="s">
        <v>315</v>
      </c>
    </row>
    <row r="15" spans="1:21">
      <c r="B15" s="5" t="s">
        <v>30</v>
      </c>
    </row>
    <row r="16" spans="1:21" ht="16">
      <c r="A16" s="33" t="s">
        <v>122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1">
      <c r="A17" s="8" t="s">
        <v>29</v>
      </c>
      <c r="B17" s="7" t="s">
        <v>460</v>
      </c>
      <c r="C17" s="7" t="s">
        <v>461</v>
      </c>
      <c r="D17" s="7" t="s">
        <v>62</v>
      </c>
      <c r="E17" s="7" t="s">
        <v>1509</v>
      </c>
      <c r="F17" s="7" t="s">
        <v>1421</v>
      </c>
      <c r="G17" s="14" t="s">
        <v>13</v>
      </c>
      <c r="H17" s="14" t="s">
        <v>14</v>
      </c>
      <c r="I17" s="14" t="s">
        <v>15</v>
      </c>
      <c r="J17" s="8"/>
      <c r="K17" s="14" t="s">
        <v>43</v>
      </c>
      <c r="L17" s="14" t="s">
        <v>63</v>
      </c>
      <c r="M17" s="15" t="s">
        <v>72</v>
      </c>
      <c r="N17" s="8"/>
      <c r="O17" s="14" t="s">
        <v>125</v>
      </c>
      <c r="P17" s="14" t="s">
        <v>144</v>
      </c>
      <c r="Q17" s="14" t="s">
        <v>136</v>
      </c>
      <c r="R17" s="8"/>
      <c r="S17" s="8" t="str">
        <f>"745,0"</f>
        <v>745,0</v>
      </c>
      <c r="T17" s="8" t="str">
        <f>"455,7910"</f>
        <v>455,7910</v>
      </c>
      <c r="U17" s="7" t="s">
        <v>315</v>
      </c>
    </row>
    <row r="18" spans="1:21">
      <c r="B18" s="5" t="s">
        <v>30</v>
      </c>
    </row>
    <row r="19" spans="1:21" ht="16">
      <c r="A19" s="33" t="s">
        <v>10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21">
      <c r="A20" s="8" t="s">
        <v>29</v>
      </c>
      <c r="B20" s="7" t="s">
        <v>462</v>
      </c>
      <c r="C20" s="7" t="s">
        <v>463</v>
      </c>
      <c r="D20" s="7" t="s">
        <v>464</v>
      </c>
      <c r="E20" s="7" t="s">
        <v>1509</v>
      </c>
      <c r="F20" s="7" t="s">
        <v>1434</v>
      </c>
      <c r="G20" s="14" t="s">
        <v>159</v>
      </c>
      <c r="H20" s="14" t="s">
        <v>465</v>
      </c>
      <c r="I20" s="15" t="s">
        <v>466</v>
      </c>
      <c r="J20" s="8"/>
      <c r="K20" s="14" t="s">
        <v>119</v>
      </c>
      <c r="L20" s="14" t="s">
        <v>84</v>
      </c>
      <c r="M20" s="14" t="s">
        <v>72</v>
      </c>
      <c r="N20" s="8"/>
      <c r="O20" s="14" t="s">
        <v>120</v>
      </c>
      <c r="P20" s="14" t="s">
        <v>337</v>
      </c>
      <c r="Q20" s="15" t="s">
        <v>126</v>
      </c>
      <c r="R20" s="8"/>
      <c r="S20" s="8" t="str">
        <f>"755,0"</f>
        <v>755,0</v>
      </c>
      <c r="T20" s="8" t="str">
        <f>"447,1865"</f>
        <v>447,1865</v>
      </c>
      <c r="U20" s="7" t="s">
        <v>467</v>
      </c>
    </row>
    <row r="21" spans="1:21">
      <c r="B21" s="5" t="s">
        <v>30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6:R16"/>
    <mergeCell ref="A19:R19"/>
    <mergeCell ref="B3:B4"/>
    <mergeCell ref="S3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U58"/>
  <sheetViews>
    <sheetView topLeftCell="A14" workbookViewId="0">
      <selection activeCell="E49" sqref="E49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2" style="5" customWidth="1"/>
    <col min="22" max="16384" width="9.1640625" style="3"/>
  </cols>
  <sheetData>
    <row r="1" spans="1:21" s="2" customFormat="1" ht="29" customHeight="1">
      <c r="A1" s="44" t="s">
        <v>1375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6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9"/>
      <c r="U4" s="41"/>
    </row>
    <row r="5" spans="1:21" ht="16">
      <c r="A5" s="42" t="s">
        <v>31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8" t="s">
        <v>29</v>
      </c>
      <c r="B6" s="7" t="s">
        <v>32</v>
      </c>
      <c r="C6" s="7" t="s">
        <v>33</v>
      </c>
      <c r="D6" s="7" t="s">
        <v>34</v>
      </c>
      <c r="E6" s="7" t="s">
        <v>1509</v>
      </c>
      <c r="F6" s="7" t="s">
        <v>1435</v>
      </c>
      <c r="G6" s="14" t="s">
        <v>35</v>
      </c>
      <c r="H6" s="14" t="s">
        <v>36</v>
      </c>
      <c r="I6" s="15" t="s">
        <v>37</v>
      </c>
      <c r="J6" s="8"/>
      <c r="K6" s="14" t="s">
        <v>38</v>
      </c>
      <c r="L6" s="14" t="s">
        <v>39</v>
      </c>
      <c r="M6" s="15" t="s">
        <v>40</v>
      </c>
      <c r="N6" s="8"/>
      <c r="O6" s="14" t="s">
        <v>41</v>
      </c>
      <c r="P6" s="14" t="s">
        <v>42</v>
      </c>
      <c r="Q6" s="14" t="s">
        <v>43</v>
      </c>
      <c r="R6" s="8"/>
      <c r="S6" s="31" t="str">
        <f>"320,0"</f>
        <v>320,0</v>
      </c>
      <c r="T6" s="8" t="str">
        <f>"377,0560"</f>
        <v>377,0560</v>
      </c>
      <c r="U6" s="7" t="s">
        <v>44</v>
      </c>
    </row>
    <row r="7" spans="1:21">
      <c r="B7" s="5" t="s">
        <v>30</v>
      </c>
    </row>
    <row r="8" spans="1:21" ht="16">
      <c r="A8" s="33" t="s">
        <v>45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29</v>
      </c>
      <c r="B9" s="7" t="s">
        <v>46</v>
      </c>
      <c r="C9" s="7" t="s">
        <v>47</v>
      </c>
      <c r="D9" s="7" t="s">
        <v>48</v>
      </c>
      <c r="E9" s="7" t="s">
        <v>1508</v>
      </c>
      <c r="F9" s="7" t="s">
        <v>1432</v>
      </c>
      <c r="G9" s="14" t="s">
        <v>49</v>
      </c>
      <c r="H9" s="14" t="s">
        <v>35</v>
      </c>
      <c r="I9" s="14" t="s">
        <v>36</v>
      </c>
      <c r="J9" s="8"/>
      <c r="K9" s="14" t="s">
        <v>50</v>
      </c>
      <c r="L9" s="14" t="s">
        <v>51</v>
      </c>
      <c r="M9" s="15" t="s">
        <v>52</v>
      </c>
      <c r="N9" s="8"/>
      <c r="O9" s="14" t="s">
        <v>35</v>
      </c>
      <c r="P9" s="14" t="s">
        <v>36</v>
      </c>
      <c r="Q9" s="14" t="s">
        <v>37</v>
      </c>
      <c r="R9" s="8"/>
      <c r="S9" s="31" t="str">
        <f>"295,0"</f>
        <v>295,0</v>
      </c>
      <c r="T9" s="8" t="str">
        <f>"334,0875"</f>
        <v>334,0875</v>
      </c>
      <c r="U9" s="7" t="s">
        <v>53</v>
      </c>
    </row>
    <row r="10" spans="1:21">
      <c r="B10" s="5" t="s">
        <v>30</v>
      </c>
    </row>
    <row r="11" spans="1:21" ht="16">
      <c r="A11" s="33" t="s">
        <v>54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17" t="s">
        <v>29</v>
      </c>
      <c r="B12" s="16" t="s">
        <v>55</v>
      </c>
      <c r="C12" s="16" t="s">
        <v>56</v>
      </c>
      <c r="D12" s="16" t="s">
        <v>57</v>
      </c>
      <c r="E12" s="16" t="s">
        <v>1508</v>
      </c>
      <c r="F12" s="16" t="s">
        <v>1436</v>
      </c>
      <c r="G12" s="22" t="s">
        <v>58</v>
      </c>
      <c r="H12" s="22" t="s">
        <v>41</v>
      </c>
      <c r="I12" s="22" t="s">
        <v>42</v>
      </c>
      <c r="J12" s="17"/>
      <c r="K12" s="22" t="s">
        <v>59</v>
      </c>
      <c r="L12" s="23" t="s">
        <v>49</v>
      </c>
      <c r="M12" s="23" t="s">
        <v>49</v>
      </c>
      <c r="N12" s="17"/>
      <c r="O12" s="23" t="s">
        <v>41</v>
      </c>
      <c r="P12" s="23" t="s">
        <v>41</v>
      </c>
      <c r="Q12" s="22" t="s">
        <v>41</v>
      </c>
      <c r="R12" s="17"/>
      <c r="S12" s="29" t="str">
        <f>"355,0"</f>
        <v>355,0</v>
      </c>
      <c r="T12" s="17" t="str">
        <f>"303,6670"</f>
        <v>303,6670</v>
      </c>
      <c r="U12" s="16" t="s">
        <v>60</v>
      </c>
    </row>
    <row r="13" spans="1:21">
      <c r="A13" s="19" t="s">
        <v>29</v>
      </c>
      <c r="B13" s="18" t="s">
        <v>61</v>
      </c>
      <c r="C13" s="18" t="s">
        <v>1331</v>
      </c>
      <c r="D13" s="18" t="s">
        <v>62</v>
      </c>
      <c r="E13" s="18" t="s">
        <v>1510</v>
      </c>
      <c r="F13" s="18" t="s">
        <v>1435</v>
      </c>
      <c r="G13" s="24" t="s">
        <v>63</v>
      </c>
      <c r="H13" s="24" t="s">
        <v>64</v>
      </c>
      <c r="I13" s="25" t="s">
        <v>65</v>
      </c>
      <c r="J13" s="19"/>
      <c r="K13" s="25" t="s">
        <v>36</v>
      </c>
      <c r="L13" s="24" t="s">
        <v>36</v>
      </c>
      <c r="M13" s="25" t="s">
        <v>37</v>
      </c>
      <c r="N13" s="19"/>
      <c r="O13" s="24" t="s">
        <v>63</v>
      </c>
      <c r="P13" s="24" t="s">
        <v>64</v>
      </c>
      <c r="Q13" s="24" t="s">
        <v>66</v>
      </c>
      <c r="R13" s="19"/>
      <c r="S13" s="30" t="str">
        <f>"485,0"</f>
        <v>485,0</v>
      </c>
      <c r="T13" s="19" t="str">
        <f>"451,6284"</f>
        <v>451,6284</v>
      </c>
      <c r="U13" s="18" t="s">
        <v>44</v>
      </c>
    </row>
    <row r="14" spans="1:21">
      <c r="B14" s="5" t="s">
        <v>30</v>
      </c>
    </row>
    <row r="15" spans="1:21" ht="16">
      <c r="A15" s="33" t="s">
        <v>67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8" t="s">
        <v>29</v>
      </c>
      <c r="B16" s="7" t="s">
        <v>68</v>
      </c>
      <c r="C16" s="7" t="s">
        <v>69</v>
      </c>
      <c r="D16" s="7" t="s">
        <v>70</v>
      </c>
      <c r="E16" s="7" t="s">
        <v>1509</v>
      </c>
      <c r="F16" s="7" t="s">
        <v>71</v>
      </c>
      <c r="G16" s="14" t="s">
        <v>72</v>
      </c>
      <c r="H16" s="14" t="s">
        <v>73</v>
      </c>
      <c r="I16" s="14" t="s">
        <v>74</v>
      </c>
      <c r="J16" s="8"/>
      <c r="K16" s="14" t="s">
        <v>35</v>
      </c>
      <c r="L16" s="14" t="s">
        <v>36</v>
      </c>
      <c r="M16" s="15" t="s">
        <v>75</v>
      </c>
      <c r="N16" s="8"/>
      <c r="O16" s="14" t="s">
        <v>76</v>
      </c>
      <c r="P16" s="14" t="s">
        <v>77</v>
      </c>
      <c r="Q16" s="15" t="s">
        <v>78</v>
      </c>
      <c r="R16" s="8"/>
      <c r="S16" s="31" t="str">
        <f>"502,5"</f>
        <v>502,5</v>
      </c>
      <c r="T16" s="8" t="str">
        <f>"360,7447"</f>
        <v>360,7447</v>
      </c>
      <c r="U16" s="7" t="s">
        <v>315</v>
      </c>
    </row>
    <row r="17" spans="1:21">
      <c r="B17" s="5" t="s">
        <v>30</v>
      </c>
    </row>
    <row r="18" spans="1:21" ht="16">
      <c r="A18" s="33" t="s">
        <v>79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21">
      <c r="A19" s="17" t="s">
        <v>29</v>
      </c>
      <c r="B19" s="16" t="s">
        <v>80</v>
      </c>
      <c r="C19" s="16" t="s">
        <v>81</v>
      </c>
      <c r="D19" s="16" t="s">
        <v>82</v>
      </c>
      <c r="E19" s="16" t="s">
        <v>1509</v>
      </c>
      <c r="F19" s="16" t="s">
        <v>1428</v>
      </c>
      <c r="G19" s="22" t="s">
        <v>77</v>
      </c>
      <c r="H19" s="23" t="s">
        <v>83</v>
      </c>
      <c r="I19" s="22" t="s">
        <v>83</v>
      </c>
      <c r="J19" s="17"/>
      <c r="K19" s="22" t="s">
        <v>84</v>
      </c>
      <c r="L19" s="22" t="s">
        <v>72</v>
      </c>
      <c r="M19" s="23" t="s">
        <v>85</v>
      </c>
      <c r="N19" s="17"/>
      <c r="O19" s="22" t="s">
        <v>13</v>
      </c>
      <c r="P19" s="22" t="s">
        <v>14</v>
      </c>
      <c r="Q19" s="23" t="s">
        <v>86</v>
      </c>
      <c r="R19" s="17"/>
      <c r="S19" s="29" t="str">
        <f>"650,0"</f>
        <v>650,0</v>
      </c>
      <c r="T19" s="17" t="str">
        <f>"436,4100"</f>
        <v>436,4100</v>
      </c>
      <c r="U19" s="16" t="s">
        <v>315</v>
      </c>
    </row>
    <row r="20" spans="1:21">
      <c r="A20" s="21" t="s">
        <v>189</v>
      </c>
      <c r="B20" s="20" t="s">
        <v>87</v>
      </c>
      <c r="C20" s="20" t="s">
        <v>88</v>
      </c>
      <c r="D20" s="20" t="s">
        <v>89</v>
      </c>
      <c r="E20" s="20" t="s">
        <v>1509</v>
      </c>
      <c r="F20" s="20" t="s">
        <v>1437</v>
      </c>
      <c r="G20" s="26" t="s">
        <v>90</v>
      </c>
      <c r="H20" s="26" t="s">
        <v>66</v>
      </c>
      <c r="I20" s="27" t="s">
        <v>91</v>
      </c>
      <c r="J20" s="21"/>
      <c r="K20" s="26" t="s">
        <v>43</v>
      </c>
      <c r="L20" s="26" t="s">
        <v>63</v>
      </c>
      <c r="M20" s="26" t="s">
        <v>84</v>
      </c>
      <c r="N20" s="21"/>
      <c r="O20" s="26" t="s">
        <v>78</v>
      </c>
      <c r="P20" s="26" t="s">
        <v>13</v>
      </c>
      <c r="Q20" s="27" t="s">
        <v>18</v>
      </c>
      <c r="R20" s="21"/>
      <c r="S20" s="32" t="str">
        <f>"605,0"</f>
        <v>605,0</v>
      </c>
      <c r="T20" s="21" t="str">
        <f>"406,4995"</f>
        <v>406,4995</v>
      </c>
      <c r="U20" s="20" t="s">
        <v>315</v>
      </c>
    </row>
    <row r="21" spans="1:21">
      <c r="A21" s="19" t="s">
        <v>190</v>
      </c>
      <c r="B21" s="18" t="s">
        <v>92</v>
      </c>
      <c r="C21" s="18" t="s">
        <v>93</v>
      </c>
      <c r="D21" s="18" t="s">
        <v>94</v>
      </c>
      <c r="E21" s="18" t="s">
        <v>1509</v>
      </c>
      <c r="F21" s="18" t="s">
        <v>1412</v>
      </c>
      <c r="G21" s="24" t="s">
        <v>95</v>
      </c>
      <c r="H21" s="25" t="s">
        <v>96</v>
      </c>
      <c r="I21" s="25" t="s">
        <v>91</v>
      </c>
      <c r="J21" s="19"/>
      <c r="K21" s="24" t="s">
        <v>41</v>
      </c>
      <c r="L21" s="24" t="s">
        <v>97</v>
      </c>
      <c r="M21" s="25" t="s">
        <v>42</v>
      </c>
      <c r="N21" s="19"/>
      <c r="O21" s="24" t="s">
        <v>83</v>
      </c>
      <c r="P21" s="25" t="s">
        <v>13</v>
      </c>
      <c r="Q21" s="25" t="s">
        <v>13</v>
      </c>
      <c r="R21" s="19"/>
      <c r="S21" s="30" t="str">
        <f>"560,0"</f>
        <v>560,0</v>
      </c>
      <c r="T21" s="19" t="str">
        <f>"387,2960"</f>
        <v>387,2960</v>
      </c>
      <c r="U21" s="18" t="s">
        <v>315</v>
      </c>
    </row>
    <row r="22" spans="1:21">
      <c r="B22" s="5" t="s">
        <v>30</v>
      </c>
    </row>
    <row r="23" spans="1:21" ht="16">
      <c r="A23" s="33" t="s">
        <v>98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21">
      <c r="A24" s="17" t="s">
        <v>29</v>
      </c>
      <c r="B24" s="16" t="s">
        <v>99</v>
      </c>
      <c r="C24" s="16" t="s">
        <v>100</v>
      </c>
      <c r="D24" s="16" t="s">
        <v>101</v>
      </c>
      <c r="E24" s="16" t="s">
        <v>1509</v>
      </c>
      <c r="F24" s="16" t="s">
        <v>1438</v>
      </c>
      <c r="G24" s="22" t="s">
        <v>77</v>
      </c>
      <c r="H24" s="22" t="s">
        <v>102</v>
      </c>
      <c r="I24" s="23" t="s">
        <v>103</v>
      </c>
      <c r="J24" s="17"/>
      <c r="K24" s="23" t="s">
        <v>64</v>
      </c>
      <c r="L24" s="22" t="s">
        <v>64</v>
      </c>
      <c r="M24" s="23" t="s">
        <v>65</v>
      </c>
      <c r="N24" s="17"/>
      <c r="O24" s="22" t="s">
        <v>83</v>
      </c>
      <c r="P24" s="22" t="s">
        <v>17</v>
      </c>
      <c r="Q24" s="23" t="s">
        <v>13</v>
      </c>
      <c r="R24" s="17"/>
      <c r="S24" s="29" t="str">
        <f>"637,5"</f>
        <v>637,5</v>
      </c>
      <c r="T24" s="17" t="str">
        <f>"407,6813"</f>
        <v>407,6813</v>
      </c>
      <c r="U24" s="16" t="s">
        <v>104</v>
      </c>
    </row>
    <row r="25" spans="1:21">
      <c r="A25" s="21" t="s">
        <v>189</v>
      </c>
      <c r="B25" s="20" t="s">
        <v>105</v>
      </c>
      <c r="C25" s="20" t="s">
        <v>106</v>
      </c>
      <c r="D25" s="20" t="s">
        <v>107</v>
      </c>
      <c r="E25" s="20" t="s">
        <v>1509</v>
      </c>
      <c r="F25" s="20" t="s">
        <v>1439</v>
      </c>
      <c r="G25" s="26" t="s">
        <v>108</v>
      </c>
      <c r="H25" s="27" t="s">
        <v>78</v>
      </c>
      <c r="I25" s="27" t="s">
        <v>78</v>
      </c>
      <c r="J25" s="21"/>
      <c r="K25" s="26" t="s">
        <v>109</v>
      </c>
      <c r="L25" s="26" t="s">
        <v>110</v>
      </c>
      <c r="M25" s="27" t="s">
        <v>111</v>
      </c>
      <c r="N25" s="21"/>
      <c r="O25" s="27" t="s">
        <v>16</v>
      </c>
      <c r="P25" s="26" t="s">
        <v>17</v>
      </c>
      <c r="Q25" s="27" t="s">
        <v>112</v>
      </c>
      <c r="R25" s="21"/>
      <c r="S25" s="32" t="str">
        <f>"587,5"</f>
        <v>587,5</v>
      </c>
      <c r="T25" s="21" t="str">
        <f>"376,3525"</f>
        <v>376,3525</v>
      </c>
      <c r="U25" s="20" t="s">
        <v>467</v>
      </c>
    </row>
    <row r="26" spans="1:21">
      <c r="A26" s="21" t="s">
        <v>191</v>
      </c>
      <c r="B26" s="20" t="s">
        <v>113</v>
      </c>
      <c r="C26" s="20" t="s">
        <v>114</v>
      </c>
      <c r="D26" s="20" t="s">
        <v>107</v>
      </c>
      <c r="E26" s="20" t="s">
        <v>1509</v>
      </c>
      <c r="F26" s="20" t="s">
        <v>1440</v>
      </c>
      <c r="G26" s="27" t="s">
        <v>90</v>
      </c>
      <c r="H26" s="27" t="s">
        <v>90</v>
      </c>
      <c r="I26" s="27" t="s">
        <v>90</v>
      </c>
      <c r="J26" s="21"/>
      <c r="K26" s="27"/>
      <c r="L26" s="21"/>
      <c r="M26" s="21"/>
      <c r="N26" s="21"/>
      <c r="O26" s="27"/>
      <c r="P26" s="21"/>
      <c r="Q26" s="21"/>
      <c r="R26" s="21"/>
      <c r="S26" s="32">
        <v>0</v>
      </c>
      <c r="T26" s="21" t="str">
        <f>"0,0000"</f>
        <v>0,0000</v>
      </c>
      <c r="U26" s="20" t="s">
        <v>115</v>
      </c>
    </row>
    <row r="27" spans="1:21">
      <c r="A27" s="19" t="s">
        <v>29</v>
      </c>
      <c r="B27" s="18" t="s">
        <v>116</v>
      </c>
      <c r="C27" s="18" t="s">
        <v>1332</v>
      </c>
      <c r="D27" s="18" t="s">
        <v>117</v>
      </c>
      <c r="E27" s="18" t="s">
        <v>1510</v>
      </c>
      <c r="F27" s="18" t="s">
        <v>1403</v>
      </c>
      <c r="G27" s="24" t="s">
        <v>77</v>
      </c>
      <c r="H27" s="24" t="s">
        <v>103</v>
      </c>
      <c r="I27" s="25" t="s">
        <v>16</v>
      </c>
      <c r="J27" s="19"/>
      <c r="K27" s="24" t="s">
        <v>118</v>
      </c>
      <c r="L27" s="24" t="s">
        <v>43</v>
      </c>
      <c r="M27" s="25" t="s">
        <v>119</v>
      </c>
      <c r="N27" s="19"/>
      <c r="O27" s="24" t="s">
        <v>18</v>
      </c>
      <c r="P27" s="24" t="s">
        <v>86</v>
      </c>
      <c r="Q27" s="25" t="s">
        <v>120</v>
      </c>
      <c r="R27" s="19"/>
      <c r="S27" s="30" t="str">
        <f>"637,5"</f>
        <v>637,5</v>
      </c>
      <c r="T27" s="19" t="str">
        <f>"432,3449"</f>
        <v>432,3449</v>
      </c>
      <c r="U27" s="18" t="s">
        <v>121</v>
      </c>
    </row>
    <row r="28" spans="1:21">
      <c r="B28" s="5" t="s">
        <v>30</v>
      </c>
    </row>
    <row r="29" spans="1:21" ht="16">
      <c r="A29" s="33" t="s">
        <v>122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>
      <c r="A30" s="17" t="s">
        <v>191</v>
      </c>
      <c r="B30" s="16" t="s">
        <v>123</v>
      </c>
      <c r="C30" s="16" t="s">
        <v>1266</v>
      </c>
      <c r="D30" s="16" t="s">
        <v>124</v>
      </c>
      <c r="E30" s="16" t="s">
        <v>1512</v>
      </c>
      <c r="F30" s="16" t="s">
        <v>1441</v>
      </c>
      <c r="G30" s="23" t="s">
        <v>125</v>
      </c>
      <c r="H30" s="23" t="s">
        <v>125</v>
      </c>
      <c r="I30" s="23" t="s">
        <v>126</v>
      </c>
      <c r="J30" s="17"/>
      <c r="K30" s="23"/>
      <c r="L30" s="17"/>
      <c r="M30" s="17"/>
      <c r="N30" s="17"/>
      <c r="O30" s="23"/>
      <c r="P30" s="17"/>
      <c r="Q30" s="17"/>
      <c r="R30" s="17"/>
      <c r="S30" s="29">
        <v>0</v>
      </c>
      <c r="T30" s="17" t="str">
        <f>"0,0000"</f>
        <v>0,0000</v>
      </c>
      <c r="U30" s="16" t="s">
        <v>1380</v>
      </c>
    </row>
    <row r="31" spans="1:21">
      <c r="A31" s="21" t="s">
        <v>29</v>
      </c>
      <c r="B31" s="20" t="s">
        <v>128</v>
      </c>
      <c r="C31" s="20" t="s">
        <v>129</v>
      </c>
      <c r="D31" s="20" t="s">
        <v>130</v>
      </c>
      <c r="E31" s="20" t="s">
        <v>1509</v>
      </c>
      <c r="F31" s="20" t="s">
        <v>1432</v>
      </c>
      <c r="G31" s="26" t="s">
        <v>13</v>
      </c>
      <c r="H31" s="26" t="s">
        <v>14</v>
      </c>
      <c r="I31" s="27" t="s">
        <v>120</v>
      </c>
      <c r="J31" s="21"/>
      <c r="K31" s="26" t="s">
        <v>119</v>
      </c>
      <c r="L31" s="26" t="s">
        <v>84</v>
      </c>
      <c r="M31" s="26" t="s">
        <v>85</v>
      </c>
      <c r="N31" s="21"/>
      <c r="O31" s="26" t="s">
        <v>14</v>
      </c>
      <c r="P31" s="26" t="s">
        <v>15</v>
      </c>
      <c r="Q31" s="26" t="s">
        <v>125</v>
      </c>
      <c r="R31" s="21"/>
      <c r="S31" s="32" t="str">
        <f>"710,0"</f>
        <v>710,0</v>
      </c>
      <c r="T31" s="21" t="str">
        <f>"438,3540"</f>
        <v>438,3540</v>
      </c>
      <c r="U31" s="20" t="s">
        <v>315</v>
      </c>
    </row>
    <row r="32" spans="1:21">
      <c r="A32" s="21" t="s">
        <v>189</v>
      </c>
      <c r="B32" s="20" t="s">
        <v>131</v>
      </c>
      <c r="C32" s="20" t="s">
        <v>132</v>
      </c>
      <c r="D32" s="20" t="s">
        <v>133</v>
      </c>
      <c r="E32" s="20" t="s">
        <v>1509</v>
      </c>
      <c r="F32" s="20" t="s">
        <v>1442</v>
      </c>
      <c r="G32" s="26" t="s">
        <v>108</v>
      </c>
      <c r="H32" s="26" t="s">
        <v>78</v>
      </c>
      <c r="I32" s="27" t="s">
        <v>103</v>
      </c>
      <c r="J32" s="21"/>
      <c r="K32" s="26" t="s">
        <v>110</v>
      </c>
      <c r="L32" s="26" t="s">
        <v>111</v>
      </c>
      <c r="M32" s="26" t="s">
        <v>134</v>
      </c>
      <c r="N32" s="21"/>
      <c r="O32" s="26" t="s">
        <v>135</v>
      </c>
      <c r="P32" s="26" t="s">
        <v>136</v>
      </c>
      <c r="Q32" s="27" t="s">
        <v>137</v>
      </c>
      <c r="R32" s="21"/>
      <c r="S32" s="32" t="str">
        <f>"687,5"</f>
        <v>687,5</v>
      </c>
      <c r="T32" s="21" t="str">
        <f>"420,2687"</f>
        <v>420,2687</v>
      </c>
      <c r="U32" s="20" t="s">
        <v>315</v>
      </c>
    </row>
    <row r="33" spans="1:21">
      <c r="A33" s="19" t="s">
        <v>190</v>
      </c>
      <c r="B33" s="18" t="s">
        <v>138</v>
      </c>
      <c r="C33" s="18" t="s">
        <v>139</v>
      </c>
      <c r="D33" s="18" t="s">
        <v>140</v>
      </c>
      <c r="E33" s="18" t="s">
        <v>1509</v>
      </c>
      <c r="F33" s="18" t="s">
        <v>1443</v>
      </c>
      <c r="G33" s="24" t="s">
        <v>43</v>
      </c>
      <c r="H33" s="24" t="s">
        <v>63</v>
      </c>
      <c r="I33" s="25" t="s">
        <v>84</v>
      </c>
      <c r="J33" s="19"/>
      <c r="K33" s="24" t="s">
        <v>63</v>
      </c>
      <c r="L33" s="25" t="s">
        <v>72</v>
      </c>
      <c r="M33" s="25" t="s">
        <v>72</v>
      </c>
      <c r="N33" s="19"/>
      <c r="O33" s="24" t="s">
        <v>72</v>
      </c>
      <c r="P33" s="25" t="s">
        <v>64</v>
      </c>
      <c r="Q33" s="19"/>
      <c r="R33" s="19"/>
      <c r="S33" s="30" t="str">
        <f>"490,0"</f>
        <v>490,0</v>
      </c>
      <c r="T33" s="19" t="str">
        <f>"304,0940"</f>
        <v>304,0940</v>
      </c>
      <c r="U33" s="18" t="s">
        <v>315</v>
      </c>
    </row>
    <row r="34" spans="1:21">
      <c r="B34" s="5" t="s">
        <v>30</v>
      </c>
    </row>
    <row r="35" spans="1:21" ht="16">
      <c r="A35" s="33" t="s">
        <v>10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21">
      <c r="A36" s="17" t="s">
        <v>29</v>
      </c>
      <c r="B36" s="16" t="s">
        <v>141</v>
      </c>
      <c r="C36" s="16" t="s">
        <v>142</v>
      </c>
      <c r="D36" s="16" t="s">
        <v>143</v>
      </c>
      <c r="E36" s="16" t="s">
        <v>1509</v>
      </c>
      <c r="F36" s="16" t="s">
        <v>1424</v>
      </c>
      <c r="G36" s="22" t="s">
        <v>64</v>
      </c>
      <c r="H36" s="22" t="s">
        <v>66</v>
      </c>
      <c r="I36" s="22" t="s">
        <v>78</v>
      </c>
      <c r="J36" s="17"/>
      <c r="K36" s="22" t="s">
        <v>64</v>
      </c>
      <c r="L36" s="22" t="s">
        <v>90</v>
      </c>
      <c r="M36" s="22" t="s">
        <v>66</v>
      </c>
      <c r="N36" s="17"/>
      <c r="O36" s="22" t="s">
        <v>86</v>
      </c>
      <c r="P36" s="22" t="s">
        <v>125</v>
      </c>
      <c r="Q36" s="23" t="s">
        <v>144</v>
      </c>
      <c r="R36" s="17"/>
      <c r="S36" s="29" t="str">
        <f>"700,0"</f>
        <v>700,0</v>
      </c>
      <c r="T36" s="17" t="str">
        <f>"413,4900"</f>
        <v>413,4900</v>
      </c>
      <c r="U36" s="16" t="s">
        <v>315</v>
      </c>
    </row>
    <row r="37" spans="1:21">
      <c r="A37" s="19" t="s">
        <v>191</v>
      </c>
      <c r="B37" s="18" t="s">
        <v>145</v>
      </c>
      <c r="C37" s="18" t="s">
        <v>146</v>
      </c>
      <c r="D37" s="18" t="s">
        <v>147</v>
      </c>
      <c r="E37" s="18" t="s">
        <v>1509</v>
      </c>
      <c r="F37" s="18" t="s">
        <v>1403</v>
      </c>
      <c r="G37" s="25" t="s">
        <v>16</v>
      </c>
      <c r="H37" s="25" t="s">
        <v>16</v>
      </c>
      <c r="I37" s="25" t="s">
        <v>16</v>
      </c>
      <c r="J37" s="19"/>
      <c r="K37" s="25"/>
      <c r="L37" s="19"/>
      <c r="M37" s="19"/>
      <c r="N37" s="19"/>
      <c r="O37" s="25"/>
      <c r="P37" s="19"/>
      <c r="Q37" s="19"/>
      <c r="R37" s="19"/>
      <c r="S37" s="30">
        <v>0</v>
      </c>
      <c r="T37" s="19" t="str">
        <f>"0,0000"</f>
        <v>0,0000</v>
      </c>
      <c r="U37" s="18" t="s">
        <v>315</v>
      </c>
    </row>
    <row r="38" spans="1:21">
      <c r="B38" s="5" t="s">
        <v>30</v>
      </c>
    </row>
    <row r="39" spans="1:21" ht="16">
      <c r="A39" s="33" t="s">
        <v>148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21">
      <c r="A40" s="17" t="s">
        <v>29</v>
      </c>
      <c r="B40" s="16" t="s">
        <v>149</v>
      </c>
      <c r="C40" s="16" t="s">
        <v>1333</v>
      </c>
      <c r="D40" s="16" t="s">
        <v>150</v>
      </c>
      <c r="E40" s="16" t="s">
        <v>1512</v>
      </c>
      <c r="F40" s="16" t="s">
        <v>1419</v>
      </c>
      <c r="G40" s="22" t="s">
        <v>16</v>
      </c>
      <c r="H40" s="23" t="s">
        <v>112</v>
      </c>
      <c r="I40" s="17"/>
      <c r="J40" s="17"/>
      <c r="K40" s="22" t="s">
        <v>43</v>
      </c>
      <c r="L40" s="22" t="s">
        <v>63</v>
      </c>
      <c r="M40" s="22" t="s">
        <v>72</v>
      </c>
      <c r="N40" s="17"/>
      <c r="O40" s="22" t="s">
        <v>86</v>
      </c>
      <c r="P40" s="22" t="s">
        <v>15</v>
      </c>
      <c r="Q40" s="23" t="s">
        <v>125</v>
      </c>
      <c r="R40" s="17"/>
      <c r="S40" s="29" t="str">
        <f>"670,0"</f>
        <v>670,0</v>
      </c>
      <c r="T40" s="17" t="str">
        <f>"389,2030"</f>
        <v>389,2030</v>
      </c>
      <c r="U40" s="16" t="s">
        <v>151</v>
      </c>
    </row>
    <row r="41" spans="1:21">
      <c r="A41" s="21" t="s">
        <v>29</v>
      </c>
      <c r="B41" s="20" t="s">
        <v>152</v>
      </c>
      <c r="C41" s="20" t="s">
        <v>153</v>
      </c>
      <c r="D41" s="20" t="s">
        <v>154</v>
      </c>
      <c r="E41" s="20" t="s">
        <v>1509</v>
      </c>
      <c r="F41" s="20" t="s">
        <v>1434</v>
      </c>
      <c r="G41" s="26" t="s">
        <v>15</v>
      </c>
      <c r="H41" s="26" t="s">
        <v>126</v>
      </c>
      <c r="I41" s="21"/>
      <c r="J41" s="21"/>
      <c r="K41" s="27" t="s">
        <v>63</v>
      </c>
      <c r="L41" s="26" t="s">
        <v>84</v>
      </c>
      <c r="M41" s="27" t="s">
        <v>85</v>
      </c>
      <c r="N41" s="21"/>
      <c r="O41" s="26" t="s">
        <v>15</v>
      </c>
      <c r="P41" s="27" t="s">
        <v>126</v>
      </c>
      <c r="Q41" s="27" t="s">
        <v>126</v>
      </c>
      <c r="R41" s="21"/>
      <c r="S41" s="32" t="str">
        <f>"720,0"</f>
        <v>720,0</v>
      </c>
      <c r="T41" s="21" t="str">
        <f>"410,7600"</f>
        <v>410,7600</v>
      </c>
      <c r="U41" s="20" t="s">
        <v>315</v>
      </c>
    </row>
    <row r="42" spans="1:21">
      <c r="A42" s="21" t="s">
        <v>189</v>
      </c>
      <c r="B42" s="20" t="s">
        <v>155</v>
      </c>
      <c r="C42" s="20" t="s">
        <v>156</v>
      </c>
      <c r="D42" s="20" t="s">
        <v>157</v>
      </c>
      <c r="E42" s="20" t="s">
        <v>1509</v>
      </c>
      <c r="F42" s="20" t="s">
        <v>1403</v>
      </c>
      <c r="G42" s="26" t="s">
        <v>108</v>
      </c>
      <c r="H42" s="26" t="s">
        <v>83</v>
      </c>
      <c r="I42" s="26" t="s">
        <v>13</v>
      </c>
      <c r="J42" s="21"/>
      <c r="K42" s="26" t="s">
        <v>158</v>
      </c>
      <c r="L42" s="26" t="s">
        <v>84</v>
      </c>
      <c r="M42" s="26" t="s">
        <v>72</v>
      </c>
      <c r="N42" s="21"/>
      <c r="O42" s="26" t="s">
        <v>86</v>
      </c>
      <c r="P42" s="26" t="s">
        <v>125</v>
      </c>
      <c r="Q42" s="26" t="s">
        <v>159</v>
      </c>
      <c r="R42" s="21"/>
      <c r="S42" s="32" t="str">
        <f>"700,0"</f>
        <v>700,0</v>
      </c>
      <c r="T42" s="21" t="str">
        <f>"401,4500"</f>
        <v>401,4500</v>
      </c>
      <c r="U42" s="20" t="s">
        <v>315</v>
      </c>
    </row>
    <row r="43" spans="1:21">
      <c r="A43" s="21" t="s">
        <v>190</v>
      </c>
      <c r="B43" s="20" t="s">
        <v>160</v>
      </c>
      <c r="C43" s="20" t="s">
        <v>161</v>
      </c>
      <c r="D43" s="20" t="s">
        <v>162</v>
      </c>
      <c r="E43" s="20" t="s">
        <v>1509</v>
      </c>
      <c r="F43" s="20" t="s">
        <v>1444</v>
      </c>
      <c r="G43" s="26" t="s">
        <v>86</v>
      </c>
      <c r="H43" s="26" t="s">
        <v>15</v>
      </c>
      <c r="I43" s="21"/>
      <c r="J43" s="21"/>
      <c r="K43" s="26" t="s">
        <v>65</v>
      </c>
      <c r="L43" s="27" t="s">
        <v>163</v>
      </c>
      <c r="M43" s="27" t="s">
        <v>163</v>
      </c>
      <c r="N43" s="21"/>
      <c r="O43" s="27" t="s">
        <v>13</v>
      </c>
      <c r="P43" s="26" t="s">
        <v>13</v>
      </c>
      <c r="Q43" s="27" t="s">
        <v>112</v>
      </c>
      <c r="R43" s="21"/>
      <c r="S43" s="32" t="str">
        <f>"695,0"</f>
        <v>695,0</v>
      </c>
      <c r="T43" s="21" t="str">
        <f>"404,4900"</f>
        <v>404,4900</v>
      </c>
      <c r="U43" s="20" t="s">
        <v>315</v>
      </c>
    </row>
    <row r="44" spans="1:21">
      <c r="A44" s="21" t="s">
        <v>29</v>
      </c>
      <c r="B44" s="20" t="s">
        <v>160</v>
      </c>
      <c r="C44" s="20" t="s">
        <v>1334</v>
      </c>
      <c r="D44" s="20" t="s">
        <v>162</v>
      </c>
      <c r="E44" s="20" t="s">
        <v>1510</v>
      </c>
      <c r="F44" s="20" t="s">
        <v>1444</v>
      </c>
      <c r="G44" s="26" t="s">
        <v>86</v>
      </c>
      <c r="H44" s="26" t="s">
        <v>15</v>
      </c>
      <c r="I44" s="21"/>
      <c r="J44" s="21"/>
      <c r="K44" s="26" t="s">
        <v>65</v>
      </c>
      <c r="L44" s="27" t="s">
        <v>163</v>
      </c>
      <c r="M44" s="27" t="s">
        <v>163</v>
      </c>
      <c r="N44" s="21"/>
      <c r="O44" s="27" t="s">
        <v>13</v>
      </c>
      <c r="P44" s="26" t="s">
        <v>13</v>
      </c>
      <c r="Q44" s="27" t="s">
        <v>112</v>
      </c>
      <c r="R44" s="21"/>
      <c r="S44" s="32" t="str">
        <f>"695,0"</f>
        <v>695,0</v>
      </c>
      <c r="T44" s="21" t="str">
        <f>"428,7594"</f>
        <v>428,7594</v>
      </c>
      <c r="U44" s="20" t="s">
        <v>315</v>
      </c>
    </row>
    <row r="45" spans="1:21">
      <c r="A45" s="19" t="s">
        <v>29</v>
      </c>
      <c r="B45" s="18" t="s">
        <v>152</v>
      </c>
      <c r="C45" s="18" t="s">
        <v>1335</v>
      </c>
      <c r="D45" s="18" t="s">
        <v>154</v>
      </c>
      <c r="E45" s="18" t="s">
        <v>1518</v>
      </c>
      <c r="F45" s="18" t="s">
        <v>1434</v>
      </c>
      <c r="G45" s="24" t="s">
        <v>15</v>
      </c>
      <c r="H45" s="24" t="s">
        <v>126</v>
      </c>
      <c r="I45" s="19"/>
      <c r="J45" s="19"/>
      <c r="K45" s="25" t="s">
        <v>63</v>
      </c>
      <c r="L45" s="24" t="s">
        <v>84</v>
      </c>
      <c r="M45" s="25" t="s">
        <v>85</v>
      </c>
      <c r="N45" s="19"/>
      <c r="O45" s="24" t="s">
        <v>15</v>
      </c>
      <c r="P45" s="25" t="s">
        <v>126</v>
      </c>
      <c r="Q45" s="25" t="s">
        <v>126</v>
      </c>
      <c r="R45" s="19"/>
      <c r="S45" s="30" t="str">
        <f>"720,0"</f>
        <v>720,0</v>
      </c>
      <c r="T45" s="19" t="str">
        <f>"472,3740"</f>
        <v>472,3740</v>
      </c>
      <c r="U45" s="18" t="s">
        <v>315</v>
      </c>
    </row>
    <row r="46" spans="1:21">
      <c r="B46" s="5" t="s">
        <v>30</v>
      </c>
    </row>
    <row r="47" spans="1:21" ht="16">
      <c r="A47" s="33" t="s">
        <v>164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21">
      <c r="A48" s="8" t="s">
        <v>29</v>
      </c>
      <c r="B48" s="7" t="s">
        <v>165</v>
      </c>
      <c r="C48" s="7" t="s">
        <v>166</v>
      </c>
      <c r="D48" s="7" t="s">
        <v>167</v>
      </c>
      <c r="E48" s="7" t="s">
        <v>1509</v>
      </c>
      <c r="F48" s="7" t="s">
        <v>1445</v>
      </c>
      <c r="G48" s="14" t="s">
        <v>168</v>
      </c>
      <c r="H48" s="14" t="s">
        <v>169</v>
      </c>
      <c r="I48" s="15" t="s">
        <v>170</v>
      </c>
      <c r="J48" s="8"/>
      <c r="K48" s="14" t="s">
        <v>66</v>
      </c>
      <c r="L48" s="14" t="s">
        <v>78</v>
      </c>
      <c r="M48" s="15" t="s">
        <v>13</v>
      </c>
      <c r="N48" s="8"/>
      <c r="O48" s="14" t="s">
        <v>171</v>
      </c>
      <c r="P48" s="8"/>
      <c r="Q48" s="8"/>
      <c r="R48" s="8"/>
      <c r="S48" s="31" t="str">
        <f>"650,0"</f>
        <v>650,0</v>
      </c>
      <c r="T48" s="8" t="str">
        <f>"367,0550"</f>
        <v>367,0550</v>
      </c>
      <c r="U48" s="7" t="s">
        <v>315</v>
      </c>
    </row>
    <row r="49" spans="2:6">
      <c r="B49" s="5" t="s">
        <v>30</v>
      </c>
    </row>
    <row r="50" spans="2:6">
      <c r="B50" s="5" t="s">
        <v>30</v>
      </c>
    </row>
    <row r="51" spans="2:6">
      <c r="B51" s="5" t="s">
        <v>30</v>
      </c>
    </row>
    <row r="52" spans="2:6" ht="18">
      <c r="B52" s="9" t="s">
        <v>20</v>
      </c>
      <c r="C52" s="9"/>
      <c r="F52" s="3"/>
    </row>
    <row r="53" spans="2:6" ht="16">
      <c r="B53" s="10" t="s">
        <v>21</v>
      </c>
      <c r="C53" s="10"/>
      <c r="F53" s="3"/>
    </row>
    <row r="54" spans="2:6" ht="14">
      <c r="B54" s="11"/>
      <c r="C54" s="12" t="s">
        <v>175</v>
      </c>
      <c r="F54" s="3"/>
    </row>
    <row r="55" spans="2:6" ht="14">
      <c r="B55" s="13" t="s">
        <v>23</v>
      </c>
      <c r="C55" s="13" t="s">
        <v>24</v>
      </c>
      <c r="D55" s="13" t="s">
        <v>25</v>
      </c>
      <c r="E55" s="13" t="s">
        <v>26</v>
      </c>
      <c r="F55" s="13" t="s">
        <v>27</v>
      </c>
    </row>
    <row r="56" spans="2:6">
      <c r="B56" s="5" t="s">
        <v>128</v>
      </c>
      <c r="C56" s="5" t="s">
        <v>175</v>
      </c>
      <c r="D56" s="6" t="s">
        <v>179</v>
      </c>
      <c r="E56" s="6" t="s">
        <v>180</v>
      </c>
      <c r="F56" s="6" t="s">
        <v>181</v>
      </c>
    </row>
    <row r="57" spans="2:6">
      <c r="B57" s="5" t="s">
        <v>80</v>
      </c>
      <c r="C57" s="5" t="s">
        <v>175</v>
      </c>
      <c r="D57" s="6" t="s">
        <v>182</v>
      </c>
      <c r="E57" s="6" t="s">
        <v>183</v>
      </c>
      <c r="F57" s="6" t="s">
        <v>184</v>
      </c>
    </row>
    <row r="58" spans="2:6">
      <c r="B58" s="5" t="s">
        <v>131</v>
      </c>
      <c r="C58" s="5" t="s">
        <v>175</v>
      </c>
      <c r="D58" s="6" t="s">
        <v>179</v>
      </c>
      <c r="E58" s="6" t="s">
        <v>185</v>
      </c>
      <c r="F58" s="6" t="s">
        <v>186</v>
      </c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5:R35"/>
    <mergeCell ref="A39:R39"/>
    <mergeCell ref="A47:R47"/>
    <mergeCell ref="B3:B4"/>
    <mergeCell ref="A8:R8"/>
    <mergeCell ref="A11:R11"/>
    <mergeCell ref="A15:R15"/>
    <mergeCell ref="A18:R18"/>
    <mergeCell ref="A23:R23"/>
    <mergeCell ref="A29:R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Лист5">
    <pageSetUpPr fitToPage="1"/>
  </sheetPr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8.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5" style="5" customWidth="1"/>
    <col min="22" max="16384" width="9.1640625" style="3"/>
  </cols>
  <sheetData>
    <row r="1" spans="1:21" s="2" customFormat="1" ht="29" customHeight="1">
      <c r="A1" s="44" t="s">
        <v>1376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7</v>
      </c>
      <c r="H3" s="38"/>
      <c r="I3" s="38"/>
      <c r="J3" s="38"/>
      <c r="K3" s="38" t="s">
        <v>8</v>
      </c>
      <c r="L3" s="38"/>
      <c r="M3" s="38"/>
      <c r="N3" s="38"/>
      <c r="O3" s="38" t="s">
        <v>9</v>
      </c>
      <c r="P3" s="38"/>
      <c r="Q3" s="38"/>
      <c r="R3" s="38"/>
      <c r="S3" s="38" t="s">
        <v>1</v>
      </c>
      <c r="T3" s="38" t="s">
        <v>3</v>
      </c>
      <c r="U3" s="40" t="s">
        <v>2</v>
      </c>
    </row>
    <row r="4" spans="1:21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9"/>
      <c r="T4" s="39"/>
      <c r="U4" s="41"/>
    </row>
    <row r="5" spans="1:21" ht="16">
      <c r="A5" s="42" t="s">
        <v>10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1">
      <c r="A6" s="8" t="s">
        <v>29</v>
      </c>
      <c r="B6" s="7" t="s">
        <v>11</v>
      </c>
      <c r="C6" s="7" t="s">
        <v>1274</v>
      </c>
      <c r="D6" s="7" t="s">
        <v>12</v>
      </c>
      <c r="E6" s="7" t="s">
        <v>1516</v>
      </c>
      <c r="F6" s="7" t="s">
        <v>1446</v>
      </c>
      <c r="G6" s="14" t="s">
        <v>13</v>
      </c>
      <c r="H6" s="14" t="s">
        <v>14</v>
      </c>
      <c r="I6" s="14" t="s">
        <v>15</v>
      </c>
      <c r="J6" s="8"/>
      <c r="K6" s="15" t="s">
        <v>16</v>
      </c>
      <c r="L6" s="15" t="s">
        <v>17</v>
      </c>
      <c r="M6" s="14" t="s">
        <v>17</v>
      </c>
      <c r="N6" s="8"/>
      <c r="O6" s="14" t="s">
        <v>16</v>
      </c>
      <c r="P6" s="14" t="s">
        <v>18</v>
      </c>
      <c r="Q6" s="8"/>
      <c r="R6" s="8"/>
      <c r="S6" s="8" t="str">
        <f>"750,0"</f>
        <v>750,0</v>
      </c>
      <c r="T6" s="8" t="str">
        <f>"611,8920"</f>
        <v>611,8920</v>
      </c>
      <c r="U6" s="7" t="s">
        <v>315</v>
      </c>
    </row>
    <row r="7" spans="1:21">
      <c r="B7" s="5" t="s">
        <v>30</v>
      </c>
    </row>
  </sheetData>
  <mergeCells count="14"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B3:B4"/>
    <mergeCell ref="E3:E4"/>
    <mergeCell ref="S3:S4"/>
    <mergeCell ref="T3:T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47"/>
  <sheetViews>
    <sheetView topLeftCell="A13" workbookViewId="0">
      <selection activeCell="E46" sqref="E46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7.5" style="5" bestFit="1" customWidth="1"/>
    <col min="18" max="16384" width="9.1640625" style="3"/>
  </cols>
  <sheetData>
    <row r="1" spans="1:17" s="2" customFormat="1" ht="29" customHeight="1">
      <c r="A1" s="44" t="s">
        <v>1358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8" t="s">
        <v>9</v>
      </c>
      <c r="L3" s="38"/>
      <c r="M3" s="38"/>
      <c r="N3" s="38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ht="16">
      <c r="A5" s="42" t="s">
        <v>192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8" t="s">
        <v>29</v>
      </c>
      <c r="B6" s="7" t="s">
        <v>199</v>
      </c>
      <c r="C6" s="7" t="s">
        <v>200</v>
      </c>
      <c r="D6" s="7" t="s">
        <v>201</v>
      </c>
      <c r="E6" s="7" t="s">
        <v>1509</v>
      </c>
      <c r="F6" s="7" t="s">
        <v>202</v>
      </c>
      <c r="G6" s="15" t="s">
        <v>203</v>
      </c>
      <c r="H6" s="14" t="s">
        <v>203</v>
      </c>
      <c r="I6" s="14" t="s">
        <v>39</v>
      </c>
      <c r="J6" s="8"/>
      <c r="K6" s="15" t="s">
        <v>204</v>
      </c>
      <c r="L6" s="14" t="s">
        <v>204</v>
      </c>
      <c r="M6" s="14" t="s">
        <v>49</v>
      </c>
      <c r="N6" s="8"/>
      <c r="O6" s="8" t="str">
        <f>"160,0"</f>
        <v>160,0</v>
      </c>
      <c r="P6" s="8" t="str">
        <f>"235,2320"</f>
        <v>235,2320</v>
      </c>
      <c r="Q6" s="7" t="s">
        <v>315</v>
      </c>
    </row>
    <row r="7" spans="1:17">
      <c r="B7" s="5" t="s">
        <v>30</v>
      </c>
    </row>
    <row r="8" spans="1:17" ht="16">
      <c r="A8" s="33" t="s">
        <v>31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17" t="s">
        <v>29</v>
      </c>
      <c r="B9" s="16" t="s">
        <v>916</v>
      </c>
      <c r="C9" s="16" t="s">
        <v>917</v>
      </c>
      <c r="D9" s="16" t="s">
        <v>259</v>
      </c>
      <c r="E9" s="16" t="s">
        <v>1509</v>
      </c>
      <c r="F9" s="16" t="s">
        <v>1403</v>
      </c>
      <c r="G9" s="22" t="s">
        <v>219</v>
      </c>
      <c r="H9" s="22" t="s">
        <v>211</v>
      </c>
      <c r="I9" s="23" t="s">
        <v>236</v>
      </c>
      <c r="J9" s="17"/>
      <c r="K9" s="22" t="s">
        <v>59</v>
      </c>
      <c r="L9" s="22" t="s">
        <v>204</v>
      </c>
      <c r="M9" s="22" t="s">
        <v>49</v>
      </c>
      <c r="N9" s="17"/>
      <c r="O9" s="17" t="str">
        <f>"150,0"</f>
        <v>150,0</v>
      </c>
      <c r="P9" s="17" t="str">
        <f>"177,4800"</f>
        <v>177,4800</v>
      </c>
      <c r="Q9" s="16" t="s">
        <v>458</v>
      </c>
    </row>
    <row r="10" spans="1:17">
      <c r="A10" s="19" t="s">
        <v>189</v>
      </c>
      <c r="B10" s="18" t="s">
        <v>918</v>
      </c>
      <c r="C10" s="18" t="s">
        <v>919</v>
      </c>
      <c r="D10" s="18" t="s">
        <v>920</v>
      </c>
      <c r="E10" s="18" t="s">
        <v>1509</v>
      </c>
      <c r="F10" s="18" t="s">
        <v>1410</v>
      </c>
      <c r="G10" s="24" t="s">
        <v>921</v>
      </c>
      <c r="H10" s="24" t="s">
        <v>263</v>
      </c>
      <c r="I10" s="25" t="s">
        <v>244</v>
      </c>
      <c r="J10" s="19"/>
      <c r="K10" s="24" t="s">
        <v>171</v>
      </c>
      <c r="L10" s="24" t="s">
        <v>50</v>
      </c>
      <c r="M10" s="25" t="s">
        <v>51</v>
      </c>
      <c r="N10" s="19"/>
      <c r="O10" s="19" t="str">
        <f>"110,0"</f>
        <v>110,0</v>
      </c>
      <c r="P10" s="19" t="str">
        <f>"130,9000"</f>
        <v>130,9000</v>
      </c>
      <c r="Q10" s="18" t="s">
        <v>279</v>
      </c>
    </row>
    <row r="11" spans="1:17">
      <c r="B11" s="5" t="s">
        <v>30</v>
      </c>
    </row>
    <row r="12" spans="1:17" ht="16">
      <c r="A12" s="33" t="s">
        <v>45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7">
      <c r="A13" s="8" t="s">
        <v>29</v>
      </c>
      <c r="B13" s="7" t="s">
        <v>614</v>
      </c>
      <c r="C13" s="7" t="s">
        <v>1244</v>
      </c>
      <c r="D13" s="7" t="s">
        <v>615</v>
      </c>
      <c r="E13" s="7" t="s">
        <v>1510</v>
      </c>
      <c r="F13" s="7" t="s">
        <v>1447</v>
      </c>
      <c r="G13" s="14" t="s">
        <v>223</v>
      </c>
      <c r="H13" s="14" t="s">
        <v>218</v>
      </c>
      <c r="I13" s="15" t="s">
        <v>236</v>
      </c>
      <c r="J13" s="8"/>
      <c r="K13" s="14" t="s">
        <v>35</v>
      </c>
      <c r="L13" s="14" t="s">
        <v>75</v>
      </c>
      <c r="M13" s="14" t="s">
        <v>213</v>
      </c>
      <c r="N13" s="8"/>
      <c r="O13" s="8" t="str">
        <f>"165,0"</f>
        <v>165,0</v>
      </c>
      <c r="P13" s="8" t="str">
        <f>"198,8231"</f>
        <v>198,8231</v>
      </c>
      <c r="Q13" s="7" t="s">
        <v>616</v>
      </c>
    </row>
    <row r="14" spans="1:17">
      <c r="B14" s="5" t="s">
        <v>30</v>
      </c>
    </row>
    <row r="15" spans="1:17" ht="16">
      <c r="A15" s="33" t="s">
        <v>275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7">
      <c r="A16" s="8" t="s">
        <v>29</v>
      </c>
      <c r="B16" s="7" t="s">
        <v>922</v>
      </c>
      <c r="C16" s="7" t="s">
        <v>511</v>
      </c>
      <c r="D16" s="7" t="s">
        <v>292</v>
      </c>
      <c r="E16" s="7" t="s">
        <v>1509</v>
      </c>
      <c r="F16" s="7" t="s">
        <v>1403</v>
      </c>
      <c r="G16" s="14" t="s">
        <v>197</v>
      </c>
      <c r="H16" s="14" t="s">
        <v>218</v>
      </c>
      <c r="I16" s="15" t="s">
        <v>219</v>
      </c>
      <c r="J16" s="8"/>
      <c r="K16" s="14" t="s">
        <v>198</v>
      </c>
      <c r="L16" s="14" t="s">
        <v>75</v>
      </c>
      <c r="M16" s="14" t="s">
        <v>224</v>
      </c>
      <c r="N16" s="8"/>
      <c r="O16" s="8" t="str">
        <f>"162,5"</f>
        <v>162,5</v>
      </c>
      <c r="P16" s="8" t="str">
        <f>"166,7413"</f>
        <v>166,7413</v>
      </c>
      <c r="Q16" s="7" t="s">
        <v>225</v>
      </c>
    </row>
    <row r="17" spans="1:17">
      <c r="B17" s="5" t="s">
        <v>30</v>
      </c>
    </row>
    <row r="18" spans="1:17" ht="16">
      <c r="A18" s="33" t="s">
        <v>67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7">
      <c r="A19" s="17" t="s">
        <v>29</v>
      </c>
      <c r="B19" s="16" t="s">
        <v>301</v>
      </c>
      <c r="C19" s="16" t="s">
        <v>302</v>
      </c>
      <c r="D19" s="16" t="s">
        <v>303</v>
      </c>
      <c r="E19" s="16" t="s">
        <v>1509</v>
      </c>
      <c r="F19" s="16" t="s">
        <v>1415</v>
      </c>
      <c r="G19" s="22" t="s">
        <v>50</v>
      </c>
      <c r="H19" s="22" t="s">
        <v>51</v>
      </c>
      <c r="I19" s="22" t="s">
        <v>52</v>
      </c>
      <c r="J19" s="17"/>
      <c r="K19" s="22" t="s">
        <v>109</v>
      </c>
      <c r="L19" s="22" t="s">
        <v>118</v>
      </c>
      <c r="M19" s="23" t="s">
        <v>43</v>
      </c>
      <c r="N19" s="17"/>
      <c r="O19" s="17" t="str">
        <f>"227,5"</f>
        <v>227,5</v>
      </c>
      <c r="P19" s="17" t="str">
        <f>"230,4803"</f>
        <v>230,4803</v>
      </c>
      <c r="Q19" s="16" t="s">
        <v>304</v>
      </c>
    </row>
    <row r="20" spans="1:17">
      <c r="A20" s="19" t="s">
        <v>29</v>
      </c>
      <c r="B20" s="18" t="s">
        <v>923</v>
      </c>
      <c r="C20" s="18" t="s">
        <v>1245</v>
      </c>
      <c r="D20" s="18" t="s">
        <v>924</v>
      </c>
      <c r="E20" s="18" t="s">
        <v>1510</v>
      </c>
      <c r="F20" s="18" t="s">
        <v>1403</v>
      </c>
      <c r="G20" s="25" t="s">
        <v>218</v>
      </c>
      <c r="H20" s="24" t="s">
        <v>211</v>
      </c>
      <c r="I20" s="24" t="s">
        <v>236</v>
      </c>
      <c r="J20" s="19"/>
      <c r="K20" s="24" t="s">
        <v>37</v>
      </c>
      <c r="L20" s="24" t="s">
        <v>58</v>
      </c>
      <c r="M20" s="25" t="s">
        <v>41</v>
      </c>
      <c r="N20" s="19"/>
      <c r="O20" s="19" t="str">
        <f>"177,5"</f>
        <v>177,5</v>
      </c>
      <c r="P20" s="19" t="str">
        <f>"183,6344"</f>
        <v>183,6344</v>
      </c>
      <c r="Q20" s="18" t="s">
        <v>1354</v>
      </c>
    </row>
    <row r="21" spans="1:17">
      <c r="B21" s="5" t="s">
        <v>30</v>
      </c>
    </row>
    <row r="22" spans="1:17" ht="16">
      <c r="A22" s="33" t="s">
        <v>275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7">
      <c r="A23" s="8" t="s">
        <v>29</v>
      </c>
      <c r="B23" s="7" t="s">
        <v>644</v>
      </c>
      <c r="C23" s="7" t="s">
        <v>645</v>
      </c>
      <c r="D23" s="7" t="s">
        <v>646</v>
      </c>
      <c r="E23" s="7" t="s">
        <v>1509</v>
      </c>
      <c r="F23" s="7" t="s">
        <v>1403</v>
      </c>
      <c r="G23" s="14" t="s">
        <v>198</v>
      </c>
      <c r="H23" s="14" t="s">
        <v>37</v>
      </c>
      <c r="I23" s="15" t="s">
        <v>224</v>
      </c>
      <c r="J23" s="8"/>
      <c r="K23" s="14" t="s">
        <v>37</v>
      </c>
      <c r="L23" s="14" t="s">
        <v>58</v>
      </c>
      <c r="M23" s="14" t="s">
        <v>274</v>
      </c>
      <c r="N23" s="8"/>
      <c r="O23" s="8" t="str">
        <f>"237,5"</f>
        <v>237,5</v>
      </c>
      <c r="P23" s="8" t="str">
        <f>"183,5637"</f>
        <v>183,5637</v>
      </c>
      <c r="Q23" s="7" t="s">
        <v>458</v>
      </c>
    </row>
    <row r="24" spans="1:17">
      <c r="B24" s="5" t="s">
        <v>30</v>
      </c>
    </row>
    <row r="25" spans="1:17" ht="16">
      <c r="A25" s="33" t="s">
        <v>67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7">
      <c r="A26" s="17" t="s">
        <v>29</v>
      </c>
      <c r="B26" s="16" t="s">
        <v>925</v>
      </c>
      <c r="C26" s="16" t="s">
        <v>926</v>
      </c>
      <c r="D26" s="16" t="s">
        <v>927</v>
      </c>
      <c r="E26" s="16" t="s">
        <v>1508</v>
      </c>
      <c r="F26" s="16" t="s">
        <v>1410</v>
      </c>
      <c r="G26" s="22" t="s">
        <v>218</v>
      </c>
      <c r="H26" s="22" t="s">
        <v>38</v>
      </c>
      <c r="I26" s="23" t="s">
        <v>171</v>
      </c>
      <c r="J26" s="17"/>
      <c r="K26" s="23" t="s">
        <v>204</v>
      </c>
      <c r="L26" s="22" t="s">
        <v>75</v>
      </c>
      <c r="M26" s="22" t="s">
        <v>213</v>
      </c>
      <c r="N26" s="17"/>
      <c r="O26" s="17" t="str">
        <f>"177,5"</f>
        <v>177,5</v>
      </c>
      <c r="P26" s="17" t="str">
        <f>"133,4623"</f>
        <v>133,4623</v>
      </c>
      <c r="Q26" s="16" t="s">
        <v>928</v>
      </c>
    </row>
    <row r="27" spans="1:17">
      <c r="A27" s="19" t="s">
        <v>29</v>
      </c>
      <c r="B27" s="18" t="s">
        <v>68</v>
      </c>
      <c r="C27" s="18" t="s">
        <v>69</v>
      </c>
      <c r="D27" s="18" t="s">
        <v>321</v>
      </c>
      <c r="E27" s="18" t="s">
        <v>1509</v>
      </c>
      <c r="F27" s="18" t="s">
        <v>71</v>
      </c>
      <c r="G27" s="24" t="s">
        <v>35</v>
      </c>
      <c r="H27" s="24" t="s">
        <v>36</v>
      </c>
      <c r="I27" s="25" t="s">
        <v>75</v>
      </c>
      <c r="J27" s="19"/>
      <c r="K27" s="24" t="s">
        <v>76</v>
      </c>
      <c r="L27" s="24" t="s">
        <v>77</v>
      </c>
      <c r="M27" s="25" t="s">
        <v>78</v>
      </c>
      <c r="N27" s="19"/>
      <c r="O27" s="19" t="str">
        <f>"320,0"</f>
        <v>320,0</v>
      </c>
      <c r="P27" s="19" t="str">
        <f>"231,5200"</f>
        <v>231,5200</v>
      </c>
      <c r="Q27" s="18" t="s">
        <v>315</v>
      </c>
    </row>
    <row r="28" spans="1:17">
      <c r="B28" s="5" t="s">
        <v>30</v>
      </c>
    </row>
    <row r="29" spans="1:17" ht="16">
      <c r="A29" s="33" t="s">
        <v>79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7">
      <c r="A30" s="17" t="s">
        <v>29</v>
      </c>
      <c r="B30" s="16" t="s">
        <v>338</v>
      </c>
      <c r="C30" s="16" t="s">
        <v>339</v>
      </c>
      <c r="D30" s="16" t="s">
        <v>340</v>
      </c>
      <c r="E30" s="16" t="s">
        <v>1509</v>
      </c>
      <c r="F30" s="16" t="s">
        <v>1401</v>
      </c>
      <c r="G30" s="22" t="s">
        <v>119</v>
      </c>
      <c r="H30" s="22" t="s">
        <v>63</v>
      </c>
      <c r="I30" s="23" t="s">
        <v>341</v>
      </c>
      <c r="J30" s="17"/>
      <c r="K30" s="22" t="s">
        <v>14</v>
      </c>
      <c r="L30" s="22" t="s">
        <v>120</v>
      </c>
      <c r="M30" s="22" t="s">
        <v>15</v>
      </c>
      <c r="N30" s="17"/>
      <c r="O30" s="17" t="str">
        <f>"430,0"</f>
        <v>430,0</v>
      </c>
      <c r="P30" s="17" t="str">
        <f>"289,5620"</f>
        <v>289,5620</v>
      </c>
      <c r="Q30" s="16" t="s">
        <v>315</v>
      </c>
    </row>
    <row r="31" spans="1:17">
      <c r="A31" s="19" t="s">
        <v>29</v>
      </c>
      <c r="B31" s="18" t="s">
        <v>334</v>
      </c>
      <c r="C31" s="18" t="s">
        <v>1246</v>
      </c>
      <c r="D31" s="18" t="s">
        <v>82</v>
      </c>
      <c r="E31" s="18" t="s">
        <v>1513</v>
      </c>
      <c r="F31" s="18" t="s">
        <v>336</v>
      </c>
      <c r="G31" s="24" t="s">
        <v>109</v>
      </c>
      <c r="H31" s="24" t="s">
        <v>110</v>
      </c>
      <c r="I31" s="25" t="s">
        <v>111</v>
      </c>
      <c r="J31" s="19"/>
      <c r="K31" s="24" t="s">
        <v>112</v>
      </c>
      <c r="L31" s="24" t="s">
        <v>120</v>
      </c>
      <c r="M31" s="24" t="s">
        <v>337</v>
      </c>
      <c r="N31" s="19"/>
      <c r="O31" s="19" t="str">
        <f>"417,5"</f>
        <v>417,5</v>
      </c>
      <c r="P31" s="19" t="str">
        <f>"350,3869"</f>
        <v>350,3869</v>
      </c>
      <c r="Q31" s="18" t="s">
        <v>315</v>
      </c>
    </row>
    <row r="32" spans="1:17">
      <c r="B32" s="5" t="s">
        <v>30</v>
      </c>
    </row>
    <row r="33" spans="1:17" ht="16">
      <c r="A33" s="33" t="s">
        <v>98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7">
      <c r="A34" s="8" t="s">
        <v>29</v>
      </c>
      <c r="B34" s="7" t="s">
        <v>929</v>
      </c>
      <c r="C34" s="7" t="s">
        <v>1247</v>
      </c>
      <c r="D34" s="7" t="s">
        <v>448</v>
      </c>
      <c r="E34" s="7" t="s">
        <v>1510</v>
      </c>
      <c r="F34" s="7" t="s">
        <v>1448</v>
      </c>
      <c r="G34" s="14" t="s">
        <v>58</v>
      </c>
      <c r="H34" s="14" t="s">
        <v>214</v>
      </c>
      <c r="I34" s="15" t="s">
        <v>41</v>
      </c>
      <c r="J34" s="8"/>
      <c r="K34" s="14" t="s">
        <v>90</v>
      </c>
      <c r="L34" s="14" t="s">
        <v>66</v>
      </c>
      <c r="M34" s="14" t="s">
        <v>108</v>
      </c>
      <c r="N34" s="8"/>
      <c r="O34" s="8" t="str">
        <f>"335,0"</f>
        <v>335,0</v>
      </c>
      <c r="P34" s="8" t="str">
        <f>"227,8677"</f>
        <v>227,8677</v>
      </c>
      <c r="Q34" s="7" t="s">
        <v>315</v>
      </c>
    </row>
    <row r="35" spans="1:17">
      <c r="B35" s="5" t="s">
        <v>30</v>
      </c>
    </row>
    <row r="36" spans="1:17" ht="16">
      <c r="A36" s="33" t="s">
        <v>10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7">
      <c r="A37" s="17" t="s">
        <v>29</v>
      </c>
      <c r="B37" s="16" t="s">
        <v>930</v>
      </c>
      <c r="C37" s="16" t="s">
        <v>931</v>
      </c>
      <c r="D37" s="16" t="s">
        <v>398</v>
      </c>
      <c r="E37" s="16" t="s">
        <v>1509</v>
      </c>
      <c r="F37" s="16" t="s">
        <v>1449</v>
      </c>
      <c r="G37" s="22" t="s">
        <v>84</v>
      </c>
      <c r="H37" s="22" t="s">
        <v>364</v>
      </c>
      <c r="I37" s="22" t="s">
        <v>73</v>
      </c>
      <c r="J37" s="17"/>
      <c r="K37" s="22" t="s">
        <v>14</v>
      </c>
      <c r="L37" s="22" t="s">
        <v>120</v>
      </c>
      <c r="M37" s="22" t="s">
        <v>932</v>
      </c>
      <c r="N37" s="17"/>
      <c r="O37" s="17" t="str">
        <f>"448,5"</f>
        <v>448,5</v>
      </c>
      <c r="P37" s="17" t="str">
        <f>"264,2562"</f>
        <v>264,2562</v>
      </c>
      <c r="Q37" s="16" t="s">
        <v>933</v>
      </c>
    </row>
    <row r="38" spans="1:17">
      <c r="A38" s="21" t="s">
        <v>189</v>
      </c>
      <c r="B38" s="20" t="s">
        <v>722</v>
      </c>
      <c r="C38" s="20" t="s">
        <v>723</v>
      </c>
      <c r="D38" s="20" t="s">
        <v>724</v>
      </c>
      <c r="E38" s="20" t="s">
        <v>1509</v>
      </c>
      <c r="F38" s="20" t="s">
        <v>1450</v>
      </c>
      <c r="G38" s="26" t="s">
        <v>357</v>
      </c>
      <c r="H38" s="26" t="s">
        <v>72</v>
      </c>
      <c r="I38" s="26" t="s">
        <v>364</v>
      </c>
      <c r="J38" s="21"/>
      <c r="K38" s="26" t="s">
        <v>78</v>
      </c>
      <c r="L38" s="26" t="s">
        <v>16</v>
      </c>
      <c r="M38" s="26" t="s">
        <v>13</v>
      </c>
      <c r="N38" s="21"/>
      <c r="O38" s="21" t="str">
        <f>"412,5"</f>
        <v>412,5</v>
      </c>
      <c r="P38" s="21" t="str">
        <f>"243,7875"</f>
        <v>243,7875</v>
      </c>
      <c r="Q38" s="20" t="s">
        <v>1355</v>
      </c>
    </row>
    <row r="39" spans="1:17">
      <c r="A39" s="19" t="s">
        <v>29</v>
      </c>
      <c r="B39" s="18" t="s">
        <v>405</v>
      </c>
      <c r="C39" s="18" t="s">
        <v>1248</v>
      </c>
      <c r="D39" s="18" t="s">
        <v>12</v>
      </c>
      <c r="E39" s="18" t="s">
        <v>1511</v>
      </c>
      <c r="F39" s="18" t="s">
        <v>1403</v>
      </c>
      <c r="G39" s="25" t="s">
        <v>119</v>
      </c>
      <c r="H39" s="24" t="s">
        <v>119</v>
      </c>
      <c r="I39" s="25" t="s">
        <v>357</v>
      </c>
      <c r="J39" s="19"/>
      <c r="K39" s="25" t="s">
        <v>108</v>
      </c>
      <c r="L39" s="24" t="s">
        <v>108</v>
      </c>
      <c r="M39" s="24" t="s">
        <v>78</v>
      </c>
      <c r="N39" s="19"/>
      <c r="O39" s="19" t="str">
        <f>"375,0"</f>
        <v>375,0</v>
      </c>
      <c r="P39" s="19" t="str">
        <f>"224,8038"</f>
        <v>224,8038</v>
      </c>
      <c r="Q39" s="18" t="s">
        <v>315</v>
      </c>
    </row>
    <row r="40" spans="1:17">
      <c r="B40" s="5" t="s">
        <v>30</v>
      </c>
    </row>
    <row r="41" spans="1:17" ht="16">
      <c r="A41" s="33" t="s">
        <v>148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7">
      <c r="A42" s="8" t="s">
        <v>29</v>
      </c>
      <c r="B42" s="7" t="s">
        <v>406</v>
      </c>
      <c r="C42" s="7" t="s">
        <v>407</v>
      </c>
      <c r="D42" s="7" t="s">
        <v>408</v>
      </c>
      <c r="E42" s="7" t="s">
        <v>1509</v>
      </c>
      <c r="F42" s="7" t="s">
        <v>1427</v>
      </c>
      <c r="G42" s="14" t="s">
        <v>84</v>
      </c>
      <c r="H42" s="14" t="s">
        <v>85</v>
      </c>
      <c r="I42" s="15" t="s">
        <v>74</v>
      </c>
      <c r="J42" s="8"/>
      <c r="K42" s="14" t="s">
        <v>125</v>
      </c>
      <c r="L42" s="14" t="s">
        <v>174</v>
      </c>
      <c r="M42" s="14" t="s">
        <v>135</v>
      </c>
      <c r="N42" s="8"/>
      <c r="O42" s="8" t="str">
        <f>"477,5"</f>
        <v>477,5</v>
      </c>
      <c r="P42" s="8" t="str">
        <f>"275,2787"</f>
        <v>275,2787</v>
      </c>
      <c r="Q42" s="7" t="s">
        <v>315</v>
      </c>
    </row>
    <row r="43" spans="1:17">
      <c r="B43" s="5" t="s">
        <v>30</v>
      </c>
    </row>
    <row r="44" spans="1:17" ht="16">
      <c r="A44" s="33" t="s">
        <v>164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7">
      <c r="A45" s="8" t="s">
        <v>29</v>
      </c>
      <c r="B45" s="7" t="s">
        <v>412</v>
      </c>
      <c r="C45" s="7" t="s">
        <v>413</v>
      </c>
      <c r="D45" s="7" t="s">
        <v>414</v>
      </c>
      <c r="E45" s="7" t="s">
        <v>1509</v>
      </c>
      <c r="F45" s="7" t="s">
        <v>1429</v>
      </c>
      <c r="G45" s="14" t="s">
        <v>63</v>
      </c>
      <c r="H45" s="14" t="s">
        <v>357</v>
      </c>
      <c r="I45" s="15" t="s">
        <v>364</v>
      </c>
      <c r="J45" s="8"/>
      <c r="K45" s="14" t="s">
        <v>13</v>
      </c>
      <c r="L45" s="15" t="s">
        <v>112</v>
      </c>
      <c r="M45" s="15" t="s">
        <v>112</v>
      </c>
      <c r="N45" s="8"/>
      <c r="O45" s="8" t="str">
        <f>"407,5"</f>
        <v>407,5</v>
      </c>
      <c r="P45" s="8" t="str">
        <f>"232,1935"</f>
        <v>232,1935</v>
      </c>
      <c r="Q45" s="7" t="s">
        <v>415</v>
      </c>
    </row>
    <row r="46" spans="1:17">
      <c r="B46" s="5" t="s">
        <v>30</v>
      </c>
    </row>
    <row r="47" spans="1:17">
      <c r="B47" s="5" t="s">
        <v>30</v>
      </c>
    </row>
  </sheetData>
  <mergeCells count="24">
    <mergeCell ref="A1:Q2"/>
    <mergeCell ref="A3:A4"/>
    <mergeCell ref="C3:C4"/>
    <mergeCell ref="D3:D4"/>
    <mergeCell ref="E3:E4"/>
    <mergeCell ref="F3:F4"/>
    <mergeCell ref="G3:J3"/>
    <mergeCell ref="K3:N3"/>
    <mergeCell ref="A22:N22"/>
    <mergeCell ref="A25:N25"/>
    <mergeCell ref="O3:O4"/>
    <mergeCell ref="P3:P4"/>
    <mergeCell ref="Q3:Q4"/>
    <mergeCell ref="A5:N5"/>
    <mergeCell ref="B3:B4"/>
    <mergeCell ref="A8:N8"/>
    <mergeCell ref="A12:N12"/>
    <mergeCell ref="A15:N15"/>
    <mergeCell ref="A18:N18"/>
    <mergeCell ref="A29:N29"/>
    <mergeCell ref="A33:N33"/>
    <mergeCell ref="A36:N36"/>
    <mergeCell ref="A41:N41"/>
    <mergeCell ref="A44:N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Q1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1.83203125" style="5" customWidth="1"/>
    <col min="18" max="16384" width="9.1640625" style="3"/>
  </cols>
  <sheetData>
    <row r="1" spans="1:17" s="2" customFormat="1" ht="29" customHeight="1">
      <c r="A1" s="44" t="s">
        <v>1359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8</v>
      </c>
      <c r="H3" s="38"/>
      <c r="I3" s="38"/>
      <c r="J3" s="38"/>
      <c r="K3" s="38" t="s">
        <v>9</v>
      </c>
      <c r="L3" s="38"/>
      <c r="M3" s="38"/>
      <c r="N3" s="38"/>
      <c r="O3" s="38" t="s">
        <v>1</v>
      </c>
      <c r="P3" s="38" t="s">
        <v>3</v>
      </c>
      <c r="Q3" s="40" t="s">
        <v>2</v>
      </c>
    </row>
    <row r="4" spans="1:17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9"/>
      <c r="P4" s="39"/>
      <c r="Q4" s="41"/>
    </row>
    <row r="5" spans="1:17" ht="16">
      <c r="A5" s="42" t="s">
        <v>275</v>
      </c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>
      <c r="A6" s="8" t="s">
        <v>29</v>
      </c>
      <c r="B6" s="7" t="s">
        <v>903</v>
      </c>
      <c r="C6" s="7" t="s">
        <v>904</v>
      </c>
      <c r="D6" s="7" t="s">
        <v>905</v>
      </c>
      <c r="E6" s="7" t="s">
        <v>1509</v>
      </c>
      <c r="F6" s="7" t="s">
        <v>1404</v>
      </c>
      <c r="G6" s="15" t="s">
        <v>210</v>
      </c>
      <c r="H6" s="14" t="s">
        <v>210</v>
      </c>
      <c r="I6" s="14" t="s">
        <v>35</v>
      </c>
      <c r="J6" s="8"/>
      <c r="K6" s="14" t="s">
        <v>134</v>
      </c>
      <c r="L6" s="14" t="s">
        <v>63</v>
      </c>
      <c r="M6" s="15" t="s">
        <v>357</v>
      </c>
      <c r="N6" s="8"/>
      <c r="O6" s="8" t="str">
        <f>"260,0"</f>
        <v>260,0</v>
      </c>
      <c r="P6" s="8" t="str">
        <f>"265,6420"</f>
        <v>265,6420</v>
      </c>
      <c r="Q6" s="7" t="s">
        <v>906</v>
      </c>
    </row>
    <row r="7" spans="1:17">
      <c r="B7" s="5" t="s">
        <v>30</v>
      </c>
    </row>
    <row r="8" spans="1:17" ht="16">
      <c r="A8" s="33" t="s">
        <v>67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8" t="s">
        <v>29</v>
      </c>
      <c r="B9" s="7" t="s">
        <v>907</v>
      </c>
      <c r="C9" s="7" t="s">
        <v>1249</v>
      </c>
      <c r="D9" s="7" t="s">
        <v>908</v>
      </c>
      <c r="E9" s="7" t="s">
        <v>1518</v>
      </c>
      <c r="F9" s="7" t="s">
        <v>1419</v>
      </c>
      <c r="G9" s="14" t="s">
        <v>214</v>
      </c>
      <c r="H9" s="14" t="s">
        <v>41</v>
      </c>
      <c r="I9" s="8"/>
      <c r="J9" s="8"/>
      <c r="K9" s="14" t="s">
        <v>90</v>
      </c>
      <c r="L9" s="14" t="s">
        <v>66</v>
      </c>
      <c r="M9" s="14" t="s">
        <v>76</v>
      </c>
      <c r="N9" s="8"/>
      <c r="O9" s="8" t="str">
        <f>"337,5"</f>
        <v>337,5</v>
      </c>
      <c r="P9" s="8" t="str">
        <f>"277,3541"</f>
        <v>277,3541</v>
      </c>
      <c r="Q9" s="7" t="s">
        <v>909</v>
      </c>
    </row>
    <row r="10" spans="1:17">
      <c r="B10" s="5" t="s">
        <v>30</v>
      </c>
    </row>
    <row r="11" spans="1:17" ht="16">
      <c r="A11" s="33" t="s">
        <v>98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>
      <c r="A12" s="8" t="s">
        <v>29</v>
      </c>
      <c r="B12" s="7" t="s">
        <v>910</v>
      </c>
      <c r="C12" s="7" t="s">
        <v>911</v>
      </c>
      <c r="D12" s="7" t="s">
        <v>912</v>
      </c>
      <c r="E12" s="7" t="s">
        <v>1509</v>
      </c>
      <c r="F12" s="7" t="s">
        <v>913</v>
      </c>
      <c r="G12" s="14" t="s">
        <v>64</v>
      </c>
      <c r="H12" s="15" t="s">
        <v>65</v>
      </c>
      <c r="I12" s="15" t="s">
        <v>65</v>
      </c>
      <c r="J12" s="8"/>
      <c r="K12" s="14" t="s">
        <v>159</v>
      </c>
      <c r="L12" s="15" t="s">
        <v>144</v>
      </c>
      <c r="M12" s="15" t="s">
        <v>144</v>
      </c>
      <c r="N12" s="8"/>
      <c r="O12" s="8" t="str">
        <f>"470,0"</f>
        <v>470,0</v>
      </c>
      <c r="P12" s="8" t="str">
        <f>"301,7870"</f>
        <v>301,7870</v>
      </c>
      <c r="Q12" s="7" t="s">
        <v>315</v>
      </c>
    </row>
    <row r="13" spans="1:17">
      <c r="B13" s="5" t="s">
        <v>30</v>
      </c>
    </row>
    <row r="14" spans="1:17" ht="16">
      <c r="A14" s="33" t="s">
        <v>122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7">
      <c r="A15" s="8" t="s">
        <v>29</v>
      </c>
      <c r="B15" s="7" t="s">
        <v>914</v>
      </c>
      <c r="C15" s="7" t="s">
        <v>1250</v>
      </c>
      <c r="D15" s="7" t="s">
        <v>915</v>
      </c>
      <c r="E15" s="7" t="s">
        <v>1518</v>
      </c>
      <c r="F15" s="7" t="s">
        <v>1451</v>
      </c>
      <c r="G15" s="14" t="s">
        <v>37</v>
      </c>
      <c r="H15" s="14" t="s">
        <v>214</v>
      </c>
      <c r="I15" s="14" t="s">
        <v>109</v>
      </c>
      <c r="J15" s="8"/>
      <c r="K15" s="15" t="s">
        <v>64</v>
      </c>
      <c r="L15" s="14" t="s">
        <v>64</v>
      </c>
      <c r="M15" s="14" t="s">
        <v>90</v>
      </c>
      <c r="N15" s="8"/>
      <c r="O15" s="8" t="str">
        <f>"325,0"</f>
        <v>325,0</v>
      </c>
      <c r="P15" s="8" t="str">
        <f>"230,3421"</f>
        <v>230,3421</v>
      </c>
      <c r="Q15" s="7" t="s">
        <v>315</v>
      </c>
    </row>
    <row r="16" spans="1:17">
      <c r="B16" s="5" t="s">
        <v>30</v>
      </c>
    </row>
    <row r="17" spans="1:17" ht="16">
      <c r="A17" s="33" t="s">
        <v>10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7">
      <c r="A18" s="8" t="s">
        <v>29</v>
      </c>
      <c r="B18" s="7" t="s">
        <v>145</v>
      </c>
      <c r="C18" s="7" t="s">
        <v>146</v>
      </c>
      <c r="D18" s="7" t="s">
        <v>147</v>
      </c>
      <c r="E18" s="7" t="s">
        <v>1509</v>
      </c>
      <c r="F18" s="7" t="s">
        <v>1403</v>
      </c>
      <c r="G18" s="15" t="s">
        <v>42</v>
      </c>
      <c r="H18" s="14" t="s">
        <v>42</v>
      </c>
      <c r="I18" s="15" t="s">
        <v>118</v>
      </c>
      <c r="J18" s="8"/>
      <c r="K18" s="14" t="s">
        <v>86</v>
      </c>
      <c r="L18" s="15" t="s">
        <v>19</v>
      </c>
      <c r="M18" s="8"/>
      <c r="N18" s="8"/>
      <c r="O18" s="8" t="str">
        <f>"400,0"</f>
        <v>400,0</v>
      </c>
      <c r="P18" s="8" t="str">
        <f>"241,1200"</f>
        <v>241,1200</v>
      </c>
      <c r="Q18" s="7" t="s">
        <v>315</v>
      </c>
    </row>
    <row r="19" spans="1:17">
      <c r="B19" s="5" t="s">
        <v>30</v>
      </c>
    </row>
  </sheetData>
  <mergeCells count="17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4:N14"/>
    <mergeCell ref="A17:N17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M32"/>
  <sheetViews>
    <sheetView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9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6640625" style="5" bestFit="1" customWidth="1"/>
    <col min="14" max="16384" width="9.1640625" style="3"/>
  </cols>
  <sheetData>
    <row r="1" spans="1:13" s="2" customFormat="1" ht="29" customHeight="1">
      <c r="A1" s="44" t="s">
        <v>1361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7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226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828</v>
      </c>
      <c r="C6" s="7" t="s">
        <v>829</v>
      </c>
      <c r="D6" s="7" t="s">
        <v>830</v>
      </c>
      <c r="E6" s="7" t="s">
        <v>1509</v>
      </c>
      <c r="F6" s="7" t="s">
        <v>1439</v>
      </c>
      <c r="G6" s="14" t="s">
        <v>36</v>
      </c>
      <c r="H6" s="15" t="s">
        <v>37</v>
      </c>
      <c r="I6" s="14" t="s">
        <v>213</v>
      </c>
      <c r="J6" s="8"/>
      <c r="K6" s="8" t="str">
        <f>"115,0"</f>
        <v>115,0</v>
      </c>
      <c r="L6" s="8" t="str">
        <f>"144,0030"</f>
        <v>144,0030</v>
      </c>
      <c r="M6" s="7" t="s">
        <v>1356</v>
      </c>
    </row>
    <row r="7" spans="1:13">
      <c r="B7" s="5" t="s">
        <v>30</v>
      </c>
    </row>
    <row r="8" spans="1:13" ht="16">
      <c r="A8" s="33" t="s">
        <v>31</v>
      </c>
      <c r="B8" s="33"/>
      <c r="C8" s="33"/>
      <c r="D8" s="33"/>
      <c r="E8" s="33"/>
      <c r="F8" s="33"/>
      <c r="G8" s="33"/>
      <c r="H8" s="33"/>
      <c r="I8" s="33"/>
      <c r="J8" s="33"/>
    </row>
    <row r="9" spans="1:13">
      <c r="A9" s="17" t="s">
        <v>29</v>
      </c>
      <c r="B9" s="16" t="s">
        <v>250</v>
      </c>
      <c r="C9" s="16" t="s">
        <v>1251</v>
      </c>
      <c r="D9" s="16" t="s">
        <v>251</v>
      </c>
      <c r="E9" s="16" t="s">
        <v>1512</v>
      </c>
      <c r="F9" s="16" t="s">
        <v>1402</v>
      </c>
      <c r="G9" s="23" t="s">
        <v>36</v>
      </c>
      <c r="H9" s="22" t="s">
        <v>36</v>
      </c>
      <c r="I9" s="23" t="s">
        <v>224</v>
      </c>
      <c r="J9" s="17"/>
      <c r="K9" s="17" t="str">
        <f>"105,0"</f>
        <v>105,0</v>
      </c>
      <c r="L9" s="17" t="str">
        <f>"123,8895"</f>
        <v>123,8895</v>
      </c>
      <c r="M9" s="16" t="s">
        <v>253</v>
      </c>
    </row>
    <row r="10" spans="1:13">
      <c r="A10" s="19" t="s">
        <v>29</v>
      </c>
      <c r="B10" s="18" t="s">
        <v>254</v>
      </c>
      <c r="C10" s="18" t="s">
        <v>255</v>
      </c>
      <c r="D10" s="18" t="s">
        <v>34</v>
      </c>
      <c r="E10" s="18" t="s">
        <v>1509</v>
      </c>
      <c r="F10" s="18" t="s">
        <v>1408</v>
      </c>
      <c r="G10" s="24" t="s">
        <v>252</v>
      </c>
      <c r="H10" s="24" t="s">
        <v>210</v>
      </c>
      <c r="I10" s="25" t="s">
        <v>198</v>
      </c>
      <c r="J10" s="19"/>
      <c r="K10" s="19" t="str">
        <f>"97,5"</f>
        <v>97,5</v>
      </c>
      <c r="L10" s="19" t="str">
        <f>"114,8843"</f>
        <v>114,8843</v>
      </c>
      <c r="M10" s="18" t="s">
        <v>256</v>
      </c>
    </row>
    <row r="11" spans="1:13">
      <c r="B11" s="5" t="s">
        <v>30</v>
      </c>
    </row>
    <row r="12" spans="1:13" ht="16">
      <c r="A12" s="33" t="s">
        <v>45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29</v>
      </c>
      <c r="B13" s="7" t="s">
        <v>272</v>
      </c>
      <c r="C13" s="7" t="s">
        <v>1252</v>
      </c>
      <c r="D13" s="7" t="s">
        <v>273</v>
      </c>
      <c r="E13" s="7" t="s">
        <v>1513</v>
      </c>
      <c r="F13" s="7" t="s">
        <v>1403</v>
      </c>
      <c r="G13" s="14" t="s">
        <v>213</v>
      </c>
      <c r="H13" s="14" t="s">
        <v>214</v>
      </c>
      <c r="I13" s="15" t="s">
        <v>274</v>
      </c>
      <c r="J13" s="8"/>
      <c r="K13" s="8" t="str">
        <f>"125,0"</f>
        <v>125,0</v>
      </c>
      <c r="L13" s="8" t="str">
        <f>"175,5625"</f>
        <v>175,5625</v>
      </c>
      <c r="M13" s="7" t="s">
        <v>225</v>
      </c>
    </row>
    <row r="14" spans="1:13">
      <c r="B14" s="5" t="s">
        <v>30</v>
      </c>
    </row>
    <row r="15" spans="1:13" ht="16">
      <c r="A15" s="33" t="s">
        <v>275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3">
      <c r="A16" s="8" t="s">
        <v>29</v>
      </c>
      <c r="B16" s="7" t="s">
        <v>896</v>
      </c>
      <c r="C16" s="7" t="s">
        <v>897</v>
      </c>
      <c r="D16" s="7" t="s">
        <v>898</v>
      </c>
      <c r="E16" s="7" t="s">
        <v>1509</v>
      </c>
      <c r="F16" s="7" t="s">
        <v>1452</v>
      </c>
      <c r="G16" s="14" t="s">
        <v>35</v>
      </c>
      <c r="H16" s="14" t="s">
        <v>36</v>
      </c>
      <c r="I16" s="15" t="s">
        <v>224</v>
      </c>
      <c r="J16" s="8"/>
      <c r="K16" s="8" t="str">
        <f>"105,0"</f>
        <v>105,0</v>
      </c>
      <c r="L16" s="8" t="str">
        <f>"108,5595"</f>
        <v>108,5595</v>
      </c>
      <c r="M16" s="7" t="s">
        <v>899</v>
      </c>
    </row>
    <row r="17" spans="1:13">
      <c r="B17" s="5" t="s">
        <v>30</v>
      </c>
    </row>
    <row r="18" spans="1:13" ht="16">
      <c r="A18" s="33" t="s">
        <v>67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29</v>
      </c>
      <c r="B19" s="7" t="s">
        <v>900</v>
      </c>
      <c r="C19" s="7" t="s">
        <v>901</v>
      </c>
      <c r="D19" s="7" t="s">
        <v>902</v>
      </c>
      <c r="E19" s="7" t="s">
        <v>1509</v>
      </c>
      <c r="F19" s="7" t="s">
        <v>1427</v>
      </c>
      <c r="G19" s="14" t="s">
        <v>49</v>
      </c>
      <c r="H19" s="15" t="s">
        <v>198</v>
      </c>
      <c r="I19" s="15" t="s">
        <v>198</v>
      </c>
      <c r="J19" s="8"/>
      <c r="K19" s="8" t="str">
        <f>"95,0"</f>
        <v>95,0</v>
      </c>
      <c r="L19" s="8" t="str">
        <f>"91,7985"</f>
        <v>91,7985</v>
      </c>
      <c r="M19" s="7" t="s">
        <v>225</v>
      </c>
    </row>
    <row r="20" spans="1:13">
      <c r="B20" s="5" t="s">
        <v>30</v>
      </c>
    </row>
    <row r="21" spans="1:13" ht="16">
      <c r="A21" s="33" t="s">
        <v>67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3">
      <c r="A22" s="8" t="s">
        <v>29</v>
      </c>
      <c r="B22" s="7" t="s">
        <v>68</v>
      </c>
      <c r="C22" s="7" t="s">
        <v>69</v>
      </c>
      <c r="D22" s="7" t="s">
        <v>321</v>
      </c>
      <c r="E22" s="7" t="s">
        <v>1509</v>
      </c>
      <c r="F22" s="7" t="s">
        <v>71</v>
      </c>
      <c r="G22" s="14" t="s">
        <v>72</v>
      </c>
      <c r="H22" s="14" t="s">
        <v>73</v>
      </c>
      <c r="I22" s="14" t="s">
        <v>74</v>
      </c>
      <c r="J22" s="8"/>
      <c r="K22" s="8" t="str">
        <f>"182,5"</f>
        <v>182,5</v>
      </c>
      <c r="L22" s="8" t="str">
        <f>"132,0388"</f>
        <v>132,0388</v>
      </c>
      <c r="M22" s="7" t="s">
        <v>315</v>
      </c>
    </row>
    <row r="23" spans="1:13">
      <c r="B23" s="5" t="s">
        <v>30</v>
      </c>
    </row>
    <row r="24" spans="1:13" ht="16">
      <c r="A24" s="33" t="s">
        <v>79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3">
      <c r="A25" s="8" t="s">
        <v>29</v>
      </c>
      <c r="B25" s="7" t="s">
        <v>327</v>
      </c>
      <c r="C25" s="7" t="s">
        <v>328</v>
      </c>
      <c r="D25" s="7" t="s">
        <v>344</v>
      </c>
      <c r="E25" s="7" t="s">
        <v>1508</v>
      </c>
      <c r="F25" s="7" t="s">
        <v>330</v>
      </c>
      <c r="G25" s="14" t="s">
        <v>36</v>
      </c>
      <c r="H25" s="14" t="s">
        <v>37</v>
      </c>
      <c r="I25" s="14" t="s">
        <v>240</v>
      </c>
      <c r="J25" s="8"/>
      <c r="K25" s="8" t="str">
        <f>"117,5"</f>
        <v>117,5</v>
      </c>
      <c r="L25" s="8" t="str">
        <f>"79,5945"</f>
        <v>79,5945</v>
      </c>
      <c r="M25" s="7" t="s">
        <v>1357</v>
      </c>
    </row>
    <row r="26" spans="1:13">
      <c r="B26" s="5" t="s">
        <v>30</v>
      </c>
    </row>
    <row r="27" spans="1:13" ht="16">
      <c r="A27" s="33" t="s">
        <v>148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3">
      <c r="A28" s="8" t="s">
        <v>29</v>
      </c>
      <c r="B28" s="7" t="s">
        <v>406</v>
      </c>
      <c r="C28" s="7" t="s">
        <v>407</v>
      </c>
      <c r="D28" s="7" t="s">
        <v>408</v>
      </c>
      <c r="E28" s="7" t="s">
        <v>1509</v>
      </c>
      <c r="F28" s="7" t="s">
        <v>1427</v>
      </c>
      <c r="G28" s="15" t="s">
        <v>125</v>
      </c>
      <c r="H28" s="14" t="s">
        <v>125</v>
      </c>
      <c r="I28" s="15" t="s">
        <v>409</v>
      </c>
      <c r="J28" s="8"/>
      <c r="K28" s="8" t="str">
        <f>"280,0"</f>
        <v>280,0</v>
      </c>
      <c r="L28" s="8" t="str">
        <f>"161,4200"</f>
        <v>161,4200</v>
      </c>
      <c r="M28" s="7" t="s">
        <v>315</v>
      </c>
    </row>
    <row r="29" spans="1:13">
      <c r="B29" s="5" t="s">
        <v>30</v>
      </c>
    </row>
    <row r="30" spans="1:13" ht="16">
      <c r="A30" s="33" t="s">
        <v>164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3">
      <c r="A31" s="8" t="s">
        <v>29</v>
      </c>
      <c r="B31" s="7" t="s">
        <v>412</v>
      </c>
      <c r="C31" s="7" t="s">
        <v>413</v>
      </c>
      <c r="D31" s="7" t="s">
        <v>414</v>
      </c>
      <c r="E31" s="7" t="s">
        <v>1509</v>
      </c>
      <c r="F31" s="7" t="s">
        <v>1429</v>
      </c>
      <c r="G31" s="14" t="s">
        <v>13</v>
      </c>
      <c r="H31" s="14" t="s">
        <v>112</v>
      </c>
      <c r="I31" s="14" t="s">
        <v>86</v>
      </c>
      <c r="J31" s="8"/>
      <c r="K31" s="8" t="str">
        <f>"260,0"</f>
        <v>260,0</v>
      </c>
      <c r="L31" s="8" t="str">
        <f>"148,1480"</f>
        <v>148,1480</v>
      </c>
      <c r="M31" s="7" t="s">
        <v>415</v>
      </c>
    </row>
    <row r="32" spans="1:13">
      <c r="B32" s="5" t="s">
        <v>30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7:J27"/>
    <mergeCell ref="A30:J30"/>
    <mergeCell ref="B3:B4"/>
    <mergeCell ref="A8:J8"/>
    <mergeCell ref="A12:J12"/>
    <mergeCell ref="A15:J15"/>
    <mergeCell ref="A18:J18"/>
    <mergeCell ref="A21:J21"/>
    <mergeCell ref="A24:J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44" t="s">
        <v>1362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" customHeight="1" thickBot="1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" customFormat="1" ht="12.75" customHeight="1">
      <c r="A3" s="52" t="s">
        <v>1399</v>
      </c>
      <c r="B3" s="34" t="s">
        <v>0</v>
      </c>
      <c r="C3" s="54" t="s">
        <v>1506</v>
      </c>
      <c r="D3" s="54" t="s">
        <v>5</v>
      </c>
      <c r="E3" s="38" t="s">
        <v>1507</v>
      </c>
      <c r="F3" s="38" t="s">
        <v>6</v>
      </c>
      <c r="G3" s="38" t="s">
        <v>7</v>
      </c>
      <c r="H3" s="38"/>
      <c r="I3" s="38"/>
      <c r="J3" s="38"/>
      <c r="K3" s="38" t="s">
        <v>585</v>
      </c>
      <c r="L3" s="38" t="s">
        <v>3</v>
      </c>
      <c r="M3" s="40" t="s">
        <v>2</v>
      </c>
    </row>
    <row r="4" spans="1:13" s="1" customFormat="1" ht="21" customHeight="1" thickBot="1">
      <c r="A4" s="53"/>
      <c r="B4" s="35"/>
      <c r="C4" s="39"/>
      <c r="D4" s="39"/>
      <c r="E4" s="39"/>
      <c r="F4" s="39"/>
      <c r="G4" s="4">
        <v>1</v>
      </c>
      <c r="H4" s="4">
        <v>2</v>
      </c>
      <c r="I4" s="4">
        <v>3</v>
      </c>
      <c r="J4" s="4" t="s">
        <v>4</v>
      </c>
      <c r="K4" s="39"/>
      <c r="L4" s="39"/>
      <c r="M4" s="41"/>
    </row>
    <row r="5" spans="1:13" ht="16">
      <c r="A5" s="42" t="s">
        <v>67</v>
      </c>
      <c r="B5" s="42"/>
      <c r="C5" s="43"/>
      <c r="D5" s="43"/>
      <c r="E5" s="43"/>
      <c r="F5" s="43"/>
      <c r="G5" s="43"/>
      <c r="H5" s="43"/>
      <c r="I5" s="43"/>
      <c r="J5" s="43"/>
    </row>
    <row r="6" spans="1:13">
      <c r="A6" s="8" t="s">
        <v>29</v>
      </c>
      <c r="B6" s="7" t="s">
        <v>68</v>
      </c>
      <c r="C6" s="7" t="s">
        <v>69</v>
      </c>
      <c r="D6" s="7" t="s">
        <v>70</v>
      </c>
      <c r="E6" s="7" t="s">
        <v>1509</v>
      </c>
      <c r="F6" s="7" t="s">
        <v>71</v>
      </c>
      <c r="G6" s="14" t="s">
        <v>72</v>
      </c>
      <c r="H6" s="14" t="s">
        <v>73</v>
      </c>
      <c r="I6" s="14" t="s">
        <v>74</v>
      </c>
      <c r="J6" s="8"/>
      <c r="K6" s="8" t="str">
        <f>"182,5"</f>
        <v>182,5</v>
      </c>
      <c r="L6" s="8" t="str">
        <f>"131,0167"</f>
        <v>131,0167</v>
      </c>
      <c r="M6" s="7" t="s">
        <v>315</v>
      </c>
    </row>
    <row r="7" spans="1:13">
      <c r="B7" s="5" t="s">
        <v>30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IPL ПЛ без экипировки ДК</vt:lpstr>
      <vt:lpstr>IPL ПЛ в бинтах ДК</vt:lpstr>
      <vt:lpstr>IPL ПЛ в бинтах</vt:lpstr>
      <vt:lpstr>IPL ПЛ без экипировки</vt:lpstr>
      <vt:lpstr>IPL ПЛ однослой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Присед в бинтах</vt:lpstr>
      <vt:lpstr>IPL Жим без экипировки ДК</vt:lpstr>
      <vt:lpstr>IPL Жим без экипировки</vt:lpstr>
      <vt:lpstr>IPL Жим однослой ДК</vt:lpstr>
      <vt:lpstr>IPL Жим многослой</vt:lpstr>
      <vt:lpstr>IPL Жим однослой</vt:lpstr>
      <vt:lpstr>СПР Жим софт однопетельная ДК</vt:lpstr>
      <vt:lpstr>СПР Жим софт однопетельная</vt:lpstr>
      <vt:lpstr>СПР Жим софт многопетельная</vt:lpstr>
      <vt:lpstr>СПР Жим СФО</vt:lpstr>
      <vt:lpstr>IPL Тяга без экипировки ДК</vt:lpstr>
      <vt:lpstr>IPL Тяга без экипировки</vt:lpstr>
      <vt:lpstr>IPL Тяга однослой ДК</vt:lpstr>
      <vt:lpstr>IPL Тяга однослой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2021-11-22T20:27:31Z</dcterms:modified>
</cp:coreProperties>
</file>