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Ноябрь/"/>
    </mc:Choice>
  </mc:AlternateContent>
  <xr:revisionPtr revIDLastSave="0" documentId="13_ncr:1_{0ECD6F61-4189-A045-A541-071958C5C87E}" xr6:coauthVersionLast="45" xr6:coauthVersionMax="45" xr10:uidLastSave="{00000000-0000-0000-0000-000000000000}"/>
  <bookViews>
    <workbookView xWindow="480" yWindow="460" windowWidth="28180" windowHeight="16140" xr2:uid="{00000000-000D-0000-FFFF-FFFF00000000}"/>
  </bookViews>
  <sheets>
    <sheet name="GPA ПЛ без экипировки ДК" sheetId="6" r:id="rId1"/>
    <sheet name="GPA ПЛ без экипировки" sheetId="12" r:id="rId2"/>
    <sheet name="GPA ПЛ в бинтах" sheetId="8" r:id="rId3"/>
    <sheet name="GPA Двоеборье без экип ДК" sheetId="24" r:id="rId4"/>
    <sheet name="GPA Двоеборье без экип" sheetId="23" r:id="rId5"/>
    <sheet name="GPA Жим без экипировки ДК" sheetId="15" r:id="rId6"/>
    <sheet name="GPA Жим без экипировки" sheetId="13" r:id="rId7"/>
    <sheet name="СПР Жим софт однопетельная ДК" sheetId="28" r:id="rId8"/>
    <sheet name="СПР Жим софт однопетельная" sheetId="27" r:id="rId9"/>
    <sheet name="СПР Жим софт многопетельная" sheetId="29" r:id="rId10"/>
    <sheet name="СПР Жим СФО" sheetId="31" r:id="rId11"/>
    <sheet name="GPA Тяга без экипировки ДК" sheetId="20" r:id="rId12"/>
    <sheet name="GPA Тяга без экипировки" sheetId="19" r:id="rId13"/>
    <sheet name="СПР Пауэрспорт" sheetId="40" r:id="rId14"/>
    <sheet name="СПР Подъем на бицепс" sheetId="38" r:id="rId15"/>
  </sheets>
  <calcPr calcId="145621"/>
</workbook>
</file>

<file path=xl/calcChain.xml><?xml version="1.0" encoding="utf-8"?>
<calcChain xmlns="http://schemas.openxmlformats.org/spreadsheetml/2006/main">
  <c r="P10" i="40" l="1"/>
  <c r="O10" i="40"/>
  <c r="P9" i="40"/>
  <c r="O9" i="40"/>
  <c r="P6" i="40"/>
  <c r="L10" i="38"/>
  <c r="K10" i="38"/>
  <c r="L7" i="38"/>
  <c r="K7" i="38"/>
  <c r="L6" i="38"/>
  <c r="K6" i="38"/>
  <c r="L12" i="31"/>
  <c r="K12" i="31"/>
  <c r="L9" i="31"/>
  <c r="K9" i="31"/>
  <c r="L6" i="31"/>
  <c r="K6" i="31"/>
  <c r="L12" i="29"/>
  <c r="L9" i="29"/>
  <c r="K9" i="29"/>
  <c r="L6" i="29"/>
  <c r="K6" i="29"/>
  <c r="L23" i="28"/>
  <c r="K23" i="28"/>
  <c r="L22" i="28"/>
  <c r="K22" i="28"/>
  <c r="L21" i="28"/>
  <c r="K21" i="28"/>
  <c r="L18" i="28"/>
  <c r="L15" i="28"/>
  <c r="K15" i="28"/>
  <c r="L12" i="28"/>
  <c r="K12" i="28"/>
  <c r="L9" i="28"/>
  <c r="L6" i="28"/>
  <c r="K6" i="28"/>
  <c r="L14" i="27"/>
  <c r="K14" i="27"/>
  <c r="L13" i="27"/>
  <c r="K13" i="27"/>
  <c r="L12" i="27"/>
  <c r="K12" i="27"/>
  <c r="L9" i="27"/>
  <c r="L6" i="27"/>
  <c r="K6" i="27"/>
  <c r="P9" i="24"/>
  <c r="O9" i="24"/>
  <c r="P6" i="24"/>
  <c r="O6" i="24"/>
  <c r="P6" i="23"/>
  <c r="O6" i="23"/>
  <c r="L22" i="20"/>
  <c r="K22" i="20"/>
  <c r="L19" i="20"/>
  <c r="K19" i="20"/>
  <c r="L16" i="20"/>
  <c r="K16" i="20"/>
  <c r="L13" i="20"/>
  <c r="K13" i="20"/>
  <c r="L10" i="20"/>
  <c r="K10" i="20"/>
  <c r="L9" i="20"/>
  <c r="K9" i="20"/>
  <c r="L6" i="20"/>
  <c r="K6" i="20"/>
  <c r="L25" i="19"/>
  <c r="K25" i="19"/>
  <c r="L22" i="19"/>
  <c r="K22" i="19"/>
  <c r="L21" i="19"/>
  <c r="K21" i="19"/>
  <c r="L20" i="19"/>
  <c r="K20" i="19"/>
  <c r="L19" i="19"/>
  <c r="K19" i="19"/>
  <c r="L16" i="19"/>
  <c r="K16" i="19"/>
  <c r="L13" i="19"/>
  <c r="K13" i="19"/>
  <c r="L10" i="19"/>
  <c r="K10" i="19"/>
  <c r="L9" i="19"/>
  <c r="K9" i="19"/>
  <c r="L6" i="19"/>
  <c r="K6" i="19"/>
  <c r="L33" i="15"/>
  <c r="K33" i="15"/>
  <c r="L32" i="15"/>
  <c r="K32" i="15"/>
  <c r="L29" i="15"/>
  <c r="K29" i="15"/>
  <c r="L28" i="15"/>
  <c r="K28" i="15"/>
  <c r="L25" i="15"/>
  <c r="K25" i="15"/>
  <c r="L24" i="15"/>
  <c r="K24" i="15"/>
  <c r="L21" i="15"/>
  <c r="K21" i="15"/>
  <c r="L18" i="15"/>
  <c r="K18" i="15"/>
  <c r="L17" i="15"/>
  <c r="K17" i="15"/>
  <c r="L16" i="15"/>
  <c r="K16" i="15"/>
  <c r="L15" i="15"/>
  <c r="K15" i="15"/>
  <c r="L12" i="15"/>
  <c r="K12" i="15"/>
  <c r="L9" i="15"/>
  <c r="K9" i="15"/>
  <c r="L6" i="15"/>
  <c r="K6" i="15"/>
  <c r="L37" i="13"/>
  <c r="K37" i="13"/>
  <c r="L34" i="13"/>
  <c r="K34" i="13"/>
  <c r="L33" i="13"/>
  <c r="K33" i="13"/>
  <c r="L32" i="13"/>
  <c r="K32" i="13"/>
  <c r="L31" i="13"/>
  <c r="K31" i="13"/>
  <c r="L28" i="13"/>
  <c r="K28" i="13"/>
  <c r="L27" i="13"/>
  <c r="K27" i="13"/>
  <c r="L26" i="13"/>
  <c r="K26" i="13"/>
  <c r="L25" i="13"/>
  <c r="K25" i="13"/>
  <c r="L22" i="13"/>
  <c r="K22" i="13"/>
  <c r="L21" i="13"/>
  <c r="K21" i="13"/>
  <c r="L18" i="13"/>
  <c r="K18" i="13"/>
  <c r="L15" i="13"/>
  <c r="K15" i="13"/>
  <c r="L12" i="13"/>
  <c r="K12" i="13"/>
  <c r="L9" i="13"/>
  <c r="K9" i="13"/>
  <c r="L6" i="13"/>
  <c r="K6" i="13"/>
  <c r="E6" i="13"/>
  <c r="T6" i="12"/>
  <c r="S6" i="12"/>
  <c r="T9" i="8"/>
  <c r="T6" i="8"/>
  <c r="S6" i="8"/>
  <c r="T15" i="6"/>
  <c r="S15" i="6"/>
  <c r="T12" i="6"/>
  <c r="S12" i="6"/>
  <c r="T9" i="6"/>
  <c r="S9" i="6"/>
  <c r="T6" i="6"/>
  <c r="S6" i="6"/>
</calcChain>
</file>

<file path=xl/sharedStrings.xml><?xml version="1.0" encoding="utf-8"?>
<sst xmlns="http://schemas.openxmlformats.org/spreadsheetml/2006/main" count="1255" uniqueCount="426">
  <si>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</si>
  <si>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</si>
  <si>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</si>
  <si>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</si>
  <si>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</si>
  <si>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</si>
  <si>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</si>
  <si>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 xml:space="preserve">Абсолютный зачёт </t>
  </si>
  <si>
    <t/>
  </si>
  <si>
    <t>Приседание</t>
  </si>
  <si>
    <t>Жим лёжа</t>
  </si>
  <si>
    <t>Становая тяга</t>
  </si>
  <si>
    <t>ВЕСОВАЯ КАТЕГОРИЯ   60</t>
  </si>
  <si>
    <t>Мальцев Егор</t>
  </si>
  <si>
    <t>58,95</t>
  </si>
  <si>
    <t xml:space="preserve">Пермь/Пермский край </t>
  </si>
  <si>
    <t>105,0</t>
  </si>
  <si>
    <t>112,5</t>
  </si>
  <si>
    <t>120,0</t>
  </si>
  <si>
    <t>75,0</t>
  </si>
  <si>
    <t>77,5</t>
  </si>
  <si>
    <t>130,0</t>
  </si>
  <si>
    <t xml:space="preserve">Крутиков А. </t>
  </si>
  <si>
    <t>ВЕСОВАЯ КАТЕГОРИЯ   67.5</t>
  </si>
  <si>
    <t>Хисматулин Тигран</t>
  </si>
  <si>
    <t>67,50</t>
  </si>
  <si>
    <t>85,0</t>
  </si>
  <si>
    <t>92,5</t>
  </si>
  <si>
    <t>95,0</t>
  </si>
  <si>
    <t>60,0</t>
  </si>
  <si>
    <t>67,5</t>
  </si>
  <si>
    <t>72,5</t>
  </si>
  <si>
    <t>115,0</t>
  </si>
  <si>
    <t>122,5</t>
  </si>
  <si>
    <t>132,5</t>
  </si>
  <si>
    <t xml:space="preserve">Петров В. </t>
  </si>
  <si>
    <t>ВЕСОВАЯ КАТЕГОРИЯ   82.5</t>
  </si>
  <si>
    <t>Аристов Максим</t>
  </si>
  <si>
    <t>Открытая (15.07.1990)/31</t>
  </si>
  <si>
    <t>81,95</t>
  </si>
  <si>
    <t>180,0</t>
  </si>
  <si>
    <t>190,0</t>
  </si>
  <si>
    <t>200,0</t>
  </si>
  <si>
    <t>135,0</t>
  </si>
  <si>
    <t>142,5</t>
  </si>
  <si>
    <t>210,0</t>
  </si>
  <si>
    <t>220,0</t>
  </si>
  <si>
    <t>230,0</t>
  </si>
  <si>
    <t xml:space="preserve">Загидуллин А. </t>
  </si>
  <si>
    <t>ВЕСОВАЯ КАТЕГОРИЯ   110</t>
  </si>
  <si>
    <t>Геворков Арам</t>
  </si>
  <si>
    <t>Открытая (19.05.1990)/31</t>
  </si>
  <si>
    <t>105,25</t>
  </si>
  <si>
    <t>185,0</t>
  </si>
  <si>
    <t>205,0</t>
  </si>
  <si>
    <t>150,0</t>
  </si>
  <si>
    <t>165,0</t>
  </si>
  <si>
    <t>175,0</t>
  </si>
  <si>
    <t>240,0</t>
  </si>
  <si>
    <t>255,0</t>
  </si>
  <si>
    <t xml:space="preserve">Одегов С. </t>
  </si>
  <si>
    <t xml:space="preserve">Мужчины </t>
  </si>
  <si>
    <t xml:space="preserve">ФИО </t>
  </si>
  <si>
    <t xml:space="preserve">Возрастная группа </t>
  </si>
  <si>
    <t xml:space="preserve">Reshel </t>
  </si>
  <si>
    <t>290,0</t>
  </si>
  <si>
    <t xml:space="preserve">Открытая </t>
  </si>
  <si>
    <t>110</t>
  </si>
  <si>
    <t>1</t>
  </si>
  <si>
    <t>ВЕСОВАЯ КАТЕГОРИЯ   75</t>
  </si>
  <si>
    <t>Новиков Георгий</t>
  </si>
  <si>
    <t>Открытая (23.07.1987)/34</t>
  </si>
  <si>
    <t>72,75</t>
  </si>
  <si>
    <t xml:space="preserve">Соликамск/Пермский край </t>
  </si>
  <si>
    <t>160,0</t>
  </si>
  <si>
    <t>80,0</t>
  </si>
  <si>
    <t>170,0</t>
  </si>
  <si>
    <t>ВЕСОВАЯ КАТЕГОРИЯ   125</t>
  </si>
  <si>
    <t>Зямилов Александр</t>
  </si>
  <si>
    <t>Открытая (10.01.1995)/26</t>
  </si>
  <si>
    <t>112,50</t>
  </si>
  <si>
    <t>270,0</t>
  </si>
  <si>
    <t xml:space="preserve">Хромов И. </t>
  </si>
  <si>
    <t>75</t>
  </si>
  <si>
    <t>-</t>
  </si>
  <si>
    <t>ВЕСОВАЯ КАТЕГОРИЯ   100</t>
  </si>
  <si>
    <t>Рахимов Юрий</t>
  </si>
  <si>
    <t>91,40</t>
  </si>
  <si>
    <t>100,0</t>
  </si>
  <si>
    <t>215,0</t>
  </si>
  <si>
    <t xml:space="preserve">Зямилов А. </t>
  </si>
  <si>
    <t>100</t>
  </si>
  <si>
    <t>ВЕСОВАЯ КАТЕГОРИЯ   56</t>
  </si>
  <si>
    <t>Шильникова Валерия</t>
  </si>
  <si>
    <t>Открытая (03.01.1982)/39</t>
  </si>
  <si>
    <t>55,10</t>
  </si>
  <si>
    <t>37,5</t>
  </si>
  <si>
    <t>40,0</t>
  </si>
  <si>
    <t>42,5</t>
  </si>
  <si>
    <t xml:space="preserve">Баландин С. </t>
  </si>
  <si>
    <t>Шаламова Ольга</t>
  </si>
  <si>
    <t>Мастера 40-49 (15.09.1977)/44</t>
  </si>
  <si>
    <t>57,95</t>
  </si>
  <si>
    <t>50,0</t>
  </si>
  <si>
    <t>52,0</t>
  </si>
  <si>
    <t>52,5</t>
  </si>
  <si>
    <t>Кузнецова Ирина</t>
  </si>
  <si>
    <t>Открытая (28.01.1982)/39</t>
  </si>
  <si>
    <t>74,45</t>
  </si>
  <si>
    <t>45,0</t>
  </si>
  <si>
    <t>47,5</t>
  </si>
  <si>
    <t>Киселев Денис</t>
  </si>
  <si>
    <t>Мастера 40-49 (23.02.1980)/41</t>
  </si>
  <si>
    <t>66,65</t>
  </si>
  <si>
    <t>110,0</t>
  </si>
  <si>
    <t>Деткин Александр</t>
  </si>
  <si>
    <t>Мастера 50-59 (28.07.1970)/51</t>
  </si>
  <si>
    <t>74,60</t>
  </si>
  <si>
    <t>Политов Сергей</t>
  </si>
  <si>
    <t>Открытая (04.09.1991)/30</t>
  </si>
  <si>
    <t>80,10</t>
  </si>
  <si>
    <t xml:space="preserve">Верещагино/Пермский край </t>
  </si>
  <si>
    <t>145,0</t>
  </si>
  <si>
    <t>152,5</t>
  </si>
  <si>
    <t xml:space="preserve">Машанов Е. </t>
  </si>
  <si>
    <t>Николаев Александр</t>
  </si>
  <si>
    <t>Мастера 60-69 (07.08.1959)/62</t>
  </si>
  <si>
    <t>78,50</t>
  </si>
  <si>
    <t>ВЕСОВАЯ КАТЕГОРИЯ   90</t>
  </si>
  <si>
    <t>Южаков Антон</t>
  </si>
  <si>
    <t>Открытая (18.02.1995)/26</t>
  </si>
  <si>
    <t>83,25</t>
  </si>
  <si>
    <t>225,0</t>
  </si>
  <si>
    <t>Аджикильдеев Виталий</t>
  </si>
  <si>
    <t>Открытая (28.07.1988)/33</t>
  </si>
  <si>
    <t>87,30</t>
  </si>
  <si>
    <t xml:space="preserve">Яйва/Пермский край </t>
  </si>
  <si>
    <t>195,0</t>
  </si>
  <si>
    <t>202,5</t>
  </si>
  <si>
    <t>Суменков Денис</t>
  </si>
  <si>
    <t>Открытая (24.03.1992)/29</t>
  </si>
  <si>
    <t>86,90</t>
  </si>
  <si>
    <t xml:space="preserve">Хабирова В. </t>
  </si>
  <si>
    <t>Кушнин Иван</t>
  </si>
  <si>
    <t>Открытая (26.03.1990)/31</t>
  </si>
  <si>
    <t>88,75</t>
  </si>
  <si>
    <t>157,5</t>
  </si>
  <si>
    <t xml:space="preserve">Аджикильдеев В. </t>
  </si>
  <si>
    <t>Машанов Егор</t>
  </si>
  <si>
    <t>Открытая (17.06.1991)/30</t>
  </si>
  <si>
    <t>98,00</t>
  </si>
  <si>
    <t>Шистеров Вячеслав</t>
  </si>
  <si>
    <t>Открытая (05.01.1987)/34</t>
  </si>
  <si>
    <t>97,60</t>
  </si>
  <si>
    <t>187,5</t>
  </si>
  <si>
    <t>Лузин Сергей</t>
  </si>
  <si>
    <t>Мастера 60-69 (30.04.1954)/67</t>
  </si>
  <si>
    <t>91,90</t>
  </si>
  <si>
    <t>Черноморец Андрей</t>
  </si>
  <si>
    <t>Мастера 70-79 (20.06.1946)/75</t>
  </si>
  <si>
    <t>87,5</t>
  </si>
  <si>
    <t>Кургульский Денис</t>
  </si>
  <si>
    <t>Мастера 40-49 (11.02.1976)/45</t>
  </si>
  <si>
    <t>100,50</t>
  </si>
  <si>
    <t xml:space="preserve">Нытва/Пермский край </t>
  </si>
  <si>
    <t>177,5</t>
  </si>
  <si>
    <t xml:space="preserve">Койков Е. </t>
  </si>
  <si>
    <t xml:space="preserve">Результат </t>
  </si>
  <si>
    <t>90</t>
  </si>
  <si>
    <t>219,7300</t>
  </si>
  <si>
    <t>202,4990</t>
  </si>
  <si>
    <t>189,2150</t>
  </si>
  <si>
    <t>Результат</t>
  </si>
  <si>
    <t>2</t>
  </si>
  <si>
    <t>3</t>
  </si>
  <si>
    <t>4</t>
  </si>
  <si>
    <t>ВЕСОВАЯ КАТЕГОРИЯ   48</t>
  </si>
  <si>
    <t>Панова Вероника</t>
  </si>
  <si>
    <t>Открытая (09.03.1992)/29</t>
  </si>
  <si>
    <t>47,25</t>
  </si>
  <si>
    <t xml:space="preserve">Чернушка/Пермский край </t>
  </si>
  <si>
    <t>55,0</t>
  </si>
  <si>
    <t xml:space="preserve">Щипицин А. </t>
  </si>
  <si>
    <t>ВЕСОВАЯ КАТЕГОРИЯ   52</t>
  </si>
  <si>
    <t>Ерофеева Елена</t>
  </si>
  <si>
    <t>Открытая (27.05.1984)/37</t>
  </si>
  <si>
    <t>50,90</t>
  </si>
  <si>
    <t>57,5</t>
  </si>
  <si>
    <t>Субботин Максим</t>
  </si>
  <si>
    <t>65,25</t>
  </si>
  <si>
    <t>Куликов Ярослав</t>
  </si>
  <si>
    <t>72,35</t>
  </si>
  <si>
    <t xml:space="preserve">Шестаков М. </t>
  </si>
  <si>
    <t>Карасёв Владислав</t>
  </si>
  <si>
    <t>Открытая (26.02.1990)/31</t>
  </si>
  <si>
    <t>75,00</t>
  </si>
  <si>
    <t>Корнетов Дмитрий</t>
  </si>
  <si>
    <t>Открытая (26.10.1996)/25</t>
  </si>
  <si>
    <t>72,95</t>
  </si>
  <si>
    <t>125,0</t>
  </si>
  <si>
    <t>127,5</t>
  </si>
  <si>
    <t xml:space="preserve">Третьяков А. </t>
  </si>
  <si>
    <t>Багаев Эрик</t>
  </si>
  <si>
    <t>Открытая (01.06.1990)/31</t>
  </si>
  <si>
    <t>74,85</t>
  </si>
  <si>
    <t>117,5</t>
  </si>
  <si>
    <t>Копылов Александр</t>
  </si>
  <si>
    <t>Открытая (12.01.1990)/31</t>
  </si>
  <si>
    <t>81,10</t>
  </si>
  <si>
    <t xml:space="preserve">Погодин А. </t>
  </si>
  <si>
    <t>Токарев Илья</t>
  </si>
  <si>
    <t>Открытая (28.06.1968)/53</t>
  </si>
  <si>
    <t>89,10</t>
  </si>
  <si>
    <t xml:space="preserve">Кунгур/Пермский край </t>
  </si>
  <si>
    <t>155,0</t>
  </si>
  <si>
    <t>Мастера 50-59 (28.06.1968)/53</t>
  </si>
  <si>
    <t>Рудик Александр</t>
  </si>
  <si>
    <t>92,50</t>
  </si>
  <si>
    <t>90,0</t>
  </si>
  <si>
    <t xml:space="preserve">Ашрафзянов З. </t>
  </si>
  <si>
    <t>Зобнин Дмитрий</t>
  </si>
  <si>
    <t>Открытая (16.11.1982)/39</t>
  </si>
  <si>
    <t>100,00</t>
  </si>
  <si>
    <t>167,5</t>
  </si>
  <si>
    <t>172,5</t>
  </si>
  <si>
    <t>Анфалов Никита</t>
  </si>
  <si>
    <t>Открытая (16.03.1986)/35</t>
  </si>
  <si>
    <t>106,20</t>
  </si>
  <si>
    <t xml:space="preserve">Анфалов И. </t>
  </si>
  <si>
    <t>Пасынков Роман</t>
  </si>
  <si>
    <t>Открытая (10.11.1981)/40</t>
  </si>
  <si>
    <t>104,00</t>
  </si>
  <si>
    <t>157,8375</t>
  </si>
  <si>
    <t>156,0320</t>
  </si>
  <si>
    <t>150,7950</t>
  </si>
  <si>
    <t>Фадеев Алексей</t>
  </si>
  <si>
    <t>54,65</t>
  </si>
  <si>
    <t xml:space="preserve">Новоильинский/Пермский край </t>
  </si>
  <si>
    <t xml:space="preserve">Попков А. </t>
  </si>
  <si>
    <t>Коротаев Роман</t>
  </si>
  <si>
    <t>Открытая (20.01.1987)/34</t>
  </si>
  <si>
    <t>74,05</t>
  </si>
  <si>
    <t>237,5</t>
  </si>
  <si>
    <t>245,0</t>
  </si>
  <si>
    <t>Щипицин Алексей</t>
  </si>
  <si>
    <t>Открытая (21.03.1991)/30</t>
  </si>
  <si>
    <t>70,70</t>
  </si>
  <si>
    <t>235,0</t>
  </si>
  <si>
    <t>242,5</t>
  </si>
  <si>
    <t>250,0</t>
  </si>
  <si>
    <t>312,5</t>
  </si>
  <si>
    <t>325,0</t>
  </si>
  <si>
    <t>330,0</t>
  </si>
  <si>
    <t>Мальцев Константин</t>
  </si>
  <si>
    <t>Открытая (13.10.1974)/47</t>
  </si>
  <si>
    <t>110,00</t>
  </si>
  <si>
    <t>310,0</t>
  </si>
  <si>
    <t>Хромов Иван</t>
  </si>
  <si>
    <t>Открытая (17.05.1991)/30</t>
  </si>
  <si>
    <t>106,85</t>
  </si>
  <si>
    <t>260,0</t>
  </si>
  <si>
    <t>280,0</t>
  </si>
  <si>
    <t>Открытая (11.02.1976)/45</t>
  </si>
  <si>
    <t>Мастера 40-49 (13.10.1974)/47</t>
  </si>
  <si>
    <t>299,9750</t>
  </si>
  <si>
    <t>277,1440</t>
  </si>
  <si>
    <t>274,3500</t>
  </si>
  <si>
    <t>Печенкина Гульнара</t>
  </si>
  <si>
    <t>Открытая (03.10.1989)/32</t>
  </si>
  <si>
    <t>45,70</t>
  </si>
  <si>
    <t>97,5</t>
  </si>
  <si>
    <t xml:space="preserve">Трутнев А. </t>
  </si>
  <si>
    <t>Романцов Алексей</t>
  </si>
  <si>
    <t>Открытая (13.06.1988)/33</t>
  </si>
  <si>
    <t>65,95</t>
  </si>
  <si>
    <t>Четин Илья</t>
  </si>
  <si>
    <t>Открытая (06.09.1991)/30</t>
  </si>
  <si>
    <t>73,60</t>
  </si>
  <si>
    <t>222,5</t>
  </si>
  <si>
    <t xml:space="preserve">Новиков И. </t>
  </si>
  <si>
    <t>Зеленин Николай</t>
  </si>
  <si>
    <t>Открытая (17.02.1985)/36</t>
  </si>
  <si>
    <t>90,00</t>
  </si>
  <si>
    <t>Косков Сергей</t>
  </si>
  <si>
    <t>Мастера 60-69 (03.01.1957)/64</t>
  </si>
  <si>
    <t>98,85</t>
  </si>
  <si>
    <t>Одегов Сергей</t>
  </si>
  <si>
    <t>Открытая (02.10.1976)/45</t>
  </si>
  <si>
    <t>118,55</t>
  </si>
  <si>
    <t>320,0</t>
  </si>
  <si>
    <t>340,0</t>
  </si>
  <si>
    <t>Лобанов Константин</t>
  </si>
  <si>
    <t>Открытая (26.03.1991)/30</t>
  </si>
  <si>
    <t>78,05</t>
  </si>
  <si>
    <t xml:space="preserve">Отавин К. </t>
  </si>
  <si>
    <t>285,0</t>
  </si>
  <si>
    <t>Юсубов Тимур</t>
  </si>
  <si>
    <t>Мастера 40-49 (17.07.1977)/44</t>
  </si>
  <si>
    <t>73,70</t>
  </si>
  <si>
    <t xml:space="preserve">Сулейманов Р. </t>
  </si>
  <si>
    <t>Филимоненко Тимур</t>
  </si>
  <si>
    <t>66,20</t>
  </si>
  <si>
    <t>140,0</t>
  </si>
  <si>
    <t xml:space="preserve">Филимоненко В. </t>
  </si>
  <si>
    <t>Койков Стас</t>
  </si>
  <si>
    <t>Открытая (10.11.1990)/31</t>
  </si>
  <si>
    <t>81,80</t>
  </si>
  <si>
    <t>Галкин Владимир</t>
  </si>
  <si>
    <t>Открытая (19.10.1975)/46</t>
  </si>
  <si>
    <t>94,70</t>
  </si>
  <si>
    <t>275,0</t>
  </si>
  <si>
    <t>Филимоненко Владимир</t>
  </si>
  <si>
    <t>Открытая (18.10.1981)/40</t>
  </si>
  <si>
    <t>99,00</t>
  </si>
  <si>
    <t>265,0</t>
  </si>
  <si>
    <t>272,5</t>
  </si>
  <si>
    <t>Березин Николай</t>
  </si>
  <si>
    <t>Открытая (09.08.1984)/37</t>
  </si>
  <si>
    <t>95,60</t>
  </si>
  <si>
    <t xml:space="preserve">Gloss </t>
  </si>
  <si>
    <t>Гвоздева Валерия</t>
  </si>
  <si>
    <t>52,00</t>
  </si>
  <si>
    <t>70,0</t>
  </si>
  <si>
    <t>Попков Александр</t>
  </si>
  <si>
    <t>Открытая (24.12.1983)/37</t>
  </si>
  <si>
    <t>57,70</t>
  </si>
  <si>
    <t xml:space="preserve">Оськино/Пермский край </t>
  </si>
  <si>
    <t>Куликов Евгений</t>
  </si>
  <si>
    <t>Открытая (26.02.1984)/37</t>
  </si>
  <si>
    <t>73,05</t>
  </si>
  <si>
    <t>162,5</t>
  </si>
  <si>
    <t>Сидельцев Роман</t>
  </si>
  <si>
    <t>Открытая (22.02.1991)/30</t>
  </si>
  <si>
    <t>81,65</t>
  </si>
  <si>
    <t>Харин Вячеслав</t>
  </si>
  <si>
    <t>86,25</t>
  </si>
  <si>
    <t>Тохтуев Андрей</t>
  </si>
  <si>
    <t>Открытая (06.06.1982)/39</t>
  </si>
  <si>
    <t>96,95</t>
  </si>
  <si>
    <t>267,5</t>
  </si>
  <si>
    <t xml:space="preserve">Нарыков О. </t>
  </si>
  <si>
    <t>Чемезов Евгений</t>
  </si>
  <si>
    <t>Открытая (15.07.1982)/39</t>
  </si>
  <si>
    <t>95,75</t>
  </si>
  <si>
    <t>Щупов Вячеслав</t>
  </si>
  <si>
    <t>Открытая (07.10.1984)/37</t>
  </si>
  <si>
    <t>98,80</t>
  </si>
  <si>
    <t>157,6244</t>
  </si>
  <si>
    <t>121,5035</t>
  </si>
  <si>
    <t>116,8600</t>
  </si>
  <si>
    <t>Попов Максим</t>
  </si>
  <si>
    <t>Открытая (18.09.1979)/42</t>
  </si>
  <si>
    <t>73,95</t>
  </si>
  <si>
    <t>295,0</t>
  </si>
  <si>
    <t>300,0</t>
  </si>
  <si>
    <t>Шестаков Максим</t>
  </si>
  <si>
    <t>Открытая (04.11.1986)/35</t>
  </si>
  <si>
    <t>99,95</t>
  </si>
  <si>
    <t>Койков Егор</t>
  </si>
  <si>
    <t>Открытая (27.03.1985)/36</t>
  </si>
  <si>
    <t>105,00</t>
  </si>
  <si>
    <t>360,0</t>
  </si>
  <si>
    <t>380,0</t>
  </si>
  <si>
    <t>Мальцев Алексей</t>
  </si>
  <si>
    <t>Открытая (11.04.1988)/33</t>
  </si>
  <si>
    <t xml:space="preserve">Некрасов И. </t>
  </si>
  <si>
    <t>Дьяченко Артём</t>
  </si>
  <si>
    <t>Открытая (17.07.1957)/64</t>
  </si>
  <si>
    <t>88,40</t>
  </si>
  <si>
    <t xml:space="preserve">Тимофеев А. </t>
  </si>
  <si>
    <t>Соларёв Валентин</t>
  </si>
  <si>
    <t>Открытая (17.04.1988)/33</t>
  </si>
  <si>
    <t>92,15</t>
  </si>
  <si>
    <t>82,5</t>
  </si>
  <si>
    <t>Лавринский Станислав</t>
  </si>
  <si>
    <t>Открытая (15.03.1983)/38</t>
  </si>
  <si>
    <t>87,90</t>
  </si>
  <si>
    <t xml:space="preserve">Рудаков В. </t>
  </si>
  <si>
    <t>Рудаков Владимир</t>
  </si>
  <si>
    <t>Открытая (28.06.1987)/34</t>
  </si>
  <si>
    <t>94,75</t>
  </si>
  <si>
    <t>62,5</t>
  </si>
  <si>
    <t>Зыков Кирилл</t>
  </si>
  <si>
    <t>Открытая (20.11.1997)/24</t>
  </si>
  <si>
    <t>92,85</t>
  </si>
  <si>
    <t>Юноши 18-19 (19.03.2002)/19</t>
  </si>
  <si>
    <t>Юноши 16-17 (21.04.2005)/16</t>
  </si>
  <si>
    <t>Юниоры 20-23 (15.01.1998)/23</t>
  </si>
  <si>
    <t>Юноши 16-17 (12.07.2004)/17</t>
  </si>
  <si>
    <t>Юноши 16-17 (12.07.2005)/16</t>
  </si>
  <si>
    <t>Юноши 16-17 (12.06.2004)/17</t>
  </si>
  <si>
    <t>Девушки 13-19 (13.11.2005)/16</t>
  </si>
  <si>
    <t>Юноши 13-19 (03.10.2004)/17</t>
  </si>
  <si>
    <t>Юноши 13-19 (19.02.2008)/13</t>
  </si>
  <si>
    <t>Юноши 13-15 (10.07.2006)/15</t>
  </si>
  <si>
    <t>Национальный Чемпионат, посвященный памяти И.М. Палкина
GPA Пауэрлифтинг без экипировки ДК
Нытва/Пермский край, 27 ноября 2021 года</t>
  </si>
  <si>
    <t>Национальный Чемпионат, посвященный памяти И.М. Палкина
GPA Пауэрлифтинг без экипировки
Нытва/Пермский край, 27 ноября 2021 года</t>
  </si>
  <si>
    <t>Национальный Чемпионат, посвященный памяти И.М. Палкина
GPA Пауэрлифтинг в бинтах
Нытва/Пермский край, 27 ноября 2021 года</t>
  </si>
  <si>
    <t>Национальный Чемпионат, посвященный памяти И.М. Палкина
GPA Силовое двоеборье без экипировки ДК
Нытва/Пермский край, 27 ноября 2021 года</t>
  </si>
  <si>
    <t>Национальный Чемпионат, посвященный памяти И.М. Палкина
GPA Силовое двоеборье без экипировки
Нытва/Пермский край, 27 ноября 2021 года</t>
  </si>
  <si>
    <t>Национальный Чемпионат, посвященный памяти И.М. Палкина
GPA Жим лежа без экипировки ДК
Нытва/Пермский край, 27 ноября 2021 года</t>
  </si>
  <si>
    <t>Национальный Чемпионат, посвященный памяти И.М. Палкина
GPA Жим лежа без экипировки
Нытва/Пермский край, 27 ноября 2021 года</t>
  </si>
  <si>
    <t>Национальный Чемпионат, посвященный памяти И.М. Палкина
СПР Жим лежа в однопетельной софт экипировке ДК
Нытва/Пермский край, 27 ноября 2021 года</t>
  </si>
  <si>
    <t>Национальный Чемпионат, посвященный памяти И.М. Палкина
СПР Жим лежа в однопетельной софт экипировке
Нытва/Пермский край, 27 ноября 2021 года</t>
  </si>
  <si>
    <t>Национальный Чемпионат, посвященный памяти И.М. Палкина
СПР Жим лежа в многопетельной софт экипировке
Нытва/Пермский край, 27 ноября 2021 года</t>
  </si>
  <si>
    <t>Всероссийский Мастерский турнир, посвященный памяти И.М. Палкина
СПР Жим лежа СФО
Нытва/Пермский край, 27 ноября 2021 года</t>
  </si>
  <si>
    <t>Национальный Чемпионат, посвященный памяти И.М. Палкина
GPA Становая тяга без экипировки ДК
Нытва/Пермский край, 27 ноября 2021 года</t>
  </si>
  <si>
    <t>Национальный Чемпионат, посвященный памяти И.М. Палкина
GPA Становая тяга без экипировки
Нытва/Пермский край, 27 ноября 2021 года</t>
  </si>
  <si>
    <t>Всероссийский мастерский турнир, посвященный памяти И.М. Палкина
СПР Пауэрспорт
Нытва/Пермский край, 27 ноября 2021 года</t>
  </si>
  <si>
    <t>Всероссийский мастерский турнир, посвященный памяти И.М. Палкина
СПР Строгий подъем штанги на бицепс
Нытва/Пермский край, 27 ноября 2021 года</t>
  </si>
  <si>
    <t>Весовая категория</t>
  </si>
  <si>
    <t>№</t>
  </si>
  <si>
    <t>Жим</t>
  </si>
  <si>
    <t>Тяга</t>
  </si>
  <si>
    <t xml:space="preserve">
Дата рождения/Возраст</t>
  </si>
  <si>
    <t>Возрастная группа</t>
  </si>
  <si>
    <t>O</t>
  </si>
  <si>
    <t>T1</t>
  </si>
  <si>
    <t>M1</t>
  </si>
  <si>
    <t>T2</t>
  </si>
  <si>
    <t>M3</t>
  </si>
  <si>
    <t>T</t>
  </si>
  <si>
    <t>M2</t>
  </si>
  <si>
    <t>M4</t>
  </si>
  <si>
    <t>J</t>
  </si>
  <si>
    <t>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</si>
</sst>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  <font>
      <sz val="10"/>
      <color rgb="FF000000"/>
      <name val="Arimo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5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U17"/>
  <sheetViews>
    <sheetView tabSelected="1" zoomScaleNormal="100" workbookViewId="0">
      <selection activeCell="E16" sqref="E16"/>
    </sheetView>
  </sheetViews>
  <sheetFormatPr baseColWidth="10" defaultColWidth="9.1640625" defaultRowHeight="13"/>
  <cols>
    <col min="1" max="1" width="7.1640625" style="5" bestFit="1" customWidth="1"/>
    <col min="2" max="2" width="17.83203125" style="5" bestFit="1" customWidth="1"/>
    <col min="3" max="3" width="27.6640625" style="5" bestFit="1" customWidth="1"/>
    <col min="4" max="4" width="20.83203125" style="5" bestFit="1" customWidth="1"/>
    <col min="5" max="5" width="10.1640625" style="5" bestFit="1" customWidth="1"/>
    <col min="6" max="6" width="26" style="5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6" bestFit="1" customWidth="1"/>
    <col min="20" max="20" width="8.5" style="6" bestFit="1" customWidth="1"/>
    <col min="21" max="21" width="19.6640625" style="5" customWidth="1"/>
    <col min="22" max="16384" width="9.1640625" style="3"/>
  </cols>
  <sheetData>
    <row r="1" spans="1:21" s="2" customFormat="1" ht="29" customHeight="1">
      <c r="A1" s="39" t="s">
        <v>395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>
      <c r="A3" s="47" t="s">
        <v>411</v>
      </c>
      <c r="B3" s="52" t="s">
        <v>0</v>
      </c>
      <c r="C3" s="49" t="s">
        <v>414</v>
      </c>
      <c r="D3" s="49" t="s">
        <v>6</v>
      </c>
      <c r="E3" s="33" t="s">
        <v>415</v>
      </c>
      <c r="F3" s="33" t="s">
        <v>5</v>
      </c>
      <c r="G3" s="33" t="s">
        <v>9</v>
      </c>
      <c r="H3" s="33"/>
      <c r="I3" s="33"/>
      <c r="J3" s="33"/>
      <c r="K3" s="33" t="s">
        <v>10</v>
      </c>
      <c r="L3" s="33"/>
      <c r="M3" s="33"/>
      <c r="N3" s="33"/>
      <c r="O3" s="33" t="s">
        <v>11</v>
      </c>
      <c r="P3" s="33"/>
      <c r="Q3" s="33"/>
      <c r="R3" s="33"/>
      <c r="S3" s="33" t="s">
        <v>1</v>
      </c>
      <c r="T3" s="33" t="s">
        <v>3</v>
      </c>
      <c r="U3" s="35" t="s">
        <v>2</v>
      </c>
    </row>
    <row r="4" spans="1:21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4"/>
      <c r="T4" s="34"/>
      <c r="U4" s="36"/>
    </row>
    <row r="5" spans="1:21" ht="16">
      <c r="A5" s="37" t="s">
        <v>12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21">
      <c r="A6" s="9" t="s">
        <v>68</v>
      </c>
      <c r="B6" s="8" t="s">
        <v>13</v>
      </c>
      <c r="C6" s="8" t="s">
        <v>385</v>
      </c>
      <c r="D6" s="8" t="s">
        <v>14</v>
      </c>
      <c r="E6" s="8" t="s">
        <v>425</v>
      </c>
      <c r="F6" s="8" t="s">
        <v>15</v>
      </c>
      <c r="G6" s="14" t="s">
        <v>16</v>
      </c>
      <c r="H6" s="14" t="s">
        <v>17</v>
      </c>
      <c r="I6" s="15" t="s">
        <v>18</v>
      </c>
      <c r="J6" s="9"/>
      <c r="K6" s="15" t="s">
        <v>19</v>
      </c>
      <c r="L6" s="14" t="s">
        <v>19</v>
      </c>
      <c r="M6" s="15" t="s">
        <v>20</v>
      </c>
      <c r="N6" s="9"/>
      <c r="O6" s="14" t="s">
        <v>18</v>
      </c>
      <c r="P6" s="15" t="s">
        <v>21</v>
      </c>
      <c r="Q6" s="15" t="s">
        <v>21</v>
      </c>
      <c r="R6" s="9"/>
      <c r="S6" s="9" t="str">
        <f>"307,5"</f>
        <v>307,5</v>
      </c>
      <c r="T6" s="9" t="str">
        <f>"449,5035"</f>
        <v>449,5035</v>
      </c>
      <c r="U6" s="8" t="s">
        <v>22</v>
      </c>
    </row>
    <row r="7" spans="1:21">
      <c r="B7" s="5" t="s">
        <v>8</v>
      </c>
    </row>
    <row r="8" spans="1:21" ht="16">
      <c r="A8" s="50" t="s">
        <v>23</v>
      </c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21">
      <c r="A9" s="9" t="s">
        <v>68</v>
      </c>
      <c r="B9" s="8" t="s">
        <v>24</v>
      </c>
      <c r="C9" s="8" t="s">
        <v>386</v>
      </c>
      <c r="D9" s="8" t="s">
        <v>25</v>
      </c>
      <c r="E9" s="8" t="s">
        <v>419</v>
      </c>
      <c r="F9" s="8" t="s">
        <v>15</v>
      </c>
      <c r="G9" s="14" t="s">
        <v>26</v>
      </c>
      <c r="H9" s="15" t="s">
        <v>27</v>
      </c>
      <c r="I9" s="15" t="s">
        <v>28</v>
      </c>
      <c r="J9" s="9"/>
      <c r="K9" s="14" t="s">
        <v>29</v>
      </c>
      <c r="L9" s="14" t="s">
        <v>30</v>
      </c>
      <c r="M9" s="14" t="s">
        <v>31</v>
      </c>
      <c r="N9" s="9"/>
      <c r="O9" s="14" t="s">
        <v>32</v>
      </c>
      <c r="P9" s="14" t="s">
        <v>33</v>
      </c>
      <c r="Q9" s="14" t="s">
        <v>34</v>
      </c>
      <c r="R9" s="9"/>
      <c r="S9" s="9" t="str">
        <f>"290,0"</f>
        <v>290,0</v>
      </c>
      <c r="T9" s="9" t="str">
        <f>"358,7300"</f>
        <v>358,7300</v>
      </c>
      <c r="U9" s="8" t="s">
        <v>35</v>
      </c>
    </row>
    <row r="10" spans="1:21">
      <c r="B10" s="5" t="s">
        <v>8</v>
      </c>
    </row>
    <row r="11" spans="1:21" ht="16">
      <c r="A11" s="50" t="s">
        <v>36</v>
      </c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1:21">
      <c r="A12" s="9" t="s">
        <v>68</v>
      </c>
      <c r="B12" s="8" t="s">
        <v>37</v>
      </c>
      <c r="C12" s="8" t="s">
        <v>38</v>
      </c>
      <c r="D12" s="8" t="s">
        <v>39</v>
      </c>
      <c r="E12" s="8" t="s">
        <v>416</v>
      </c>
      <c r="F12" s="8" t="s">
        <v>15</v>
      </c>
      <c r="G12" s="14" t="s">
        <v>40</v>
      </c>
      <c r="H12" s="14" t="s">
        <v>41</v>
      </c>
      <c r="I12" s="15" t="s">
        <v>42</v>
      </c>
      <c r="J12" s="9"/>
      <c r="K12" s="14" t="s">
        <v>21</v>
      </c>
      <c r="L12" s="14" t="s">
        <v>43</v>
      </c>
      <c r="M12" s="15" t="s">
        <v>44</v>
      </c>
      <c r="N12" s="9"/>
      <c r="O12" s="14" t="s">
        <v>45</v>
      </c>
      <c r="P12" s="14" t="s">
        <v>46</v>
      </c>
      <c r="Q12" s="15" t="s">
        <v>47</v>
      </c>
      <c r="R12" s="9"/>
      <c r="S12" s="9" t="str">
        <f>"545,0"</f>
        <v>545,0</v>
      </c>
      <c r="T12" s="9" t="str">
        <f>"563,7480"</f>
        <v>563,7480</v>
      </c>
      <c r="U12" s="8" t="s">
        <v>48</v>
      </c>
    </row>
    <row r="13" spans="1:21">
      <c r="B13" s="5" t="s">
        <v>8</v>
      </c>
    </row>
    <row r="14" spans="1:21" ht="16">
      <c r="A14" s="50" t="s">
        <v>49</v>
      </c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</row>
    <row r="15" spans="1:21">
      <c r="A15" s="9" t="s">
        <v>68</v>
      </c>
      <c r="B15" s="8" t="s">
        <v>50</v>
      </c>
      <c r="C15" s="8" t="s">
        <v>51</v>
      </c>
      <c r="D15" s="8" t="s">
        <v>52</v>
      </c>
      <c r="E15" s="8" t="s">
        <v>416</v>
      </c>
      <c r="F15" s="8" t="s">
        <v>15</v>
      </c>
      <c r="G15" s="15" t="s">
        <v>53</v>
      </c>
      <c r="H15" s="15" t="s">
        <v>54</v>
      </c>
      <c r="I15" s="14" t="s">
        <v>54</v>
      </c>
      <c r="J15" s="9"/>
      <c r="K15" s="14" t="s">
        <v>55</v>
      </c>
      <c r="L15" s="14" t="s">
        <v>56</v>
      </c>
      <c r="M15" s="15" t="s">
        <v>57</v>
      </c>
      <c r="N15" s="9"/>
      <c r="O15" s="14" t="s">
        <v>46</v>
      </c>
      <c r="P15" s="14" t="s">
        <v>58</v>
      </c>
      <c r="Q15" s="14" t="s">
        <v>59</v>
      </c>
      <c r="R15" s="9"/>
      <c r="S15" s="9" t="str">
        <f>"625,0"</f>
        <v>625,0</v>
      </c>
      <c r="T15" s="9" t="str">
        <f>"561,2500"</f>
        <v>561,2500</v>
      </c>
      <c r="U15" s="8" t="s">
        <v>60</v>
      </c>
    </row>
    <row r="16" spans="1:21">
      <c r="B16" s="5" t="s">
        <v>8</v>
      </c>
    </row>
    <row r="17" spans="2:2">
      <c r="B17" s="5" t="s">
        <v>8</v>
      </c>
    </row>
  </sheetData>
  <mergeCells count="17">
    <mergeCell ref="A8:R8"/>
    <mergeCell ref="A11:R11"/>
    <mergeCell ref="A14:R14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5"/>
  <dimension ref="A1:M14"/>
  <sheetViews>
    <sheetView workbookViewId="0">
      <selection activeCell="E13" sqref="E13"/>
    </sheetView>
  </sheetViews>
  <sheetFormatPr baseColWidth="10" defaultColWidth="9.1640625" defaultRowHeight="13"/>
  <cols>
    <col min="1" max="1" width="7.1640625" style="5" bestFit="1" customWidth="1"/>
    <col min="2" max="2" width="20.6640625" style="5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5.5" style="5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20" style="5" customWidth="1"/>
    <col min="14" max="16384" width="9.1640625" style="3"/>
  </cols>
  <sheetData>
    <row r="1" spans="1:13" s="2" customFormat="1" ht="29" customHeight="1">
      <c r="A1" s="39" t="s">
        <v>404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411</v>
      </c>
      <c r="B3" s="52" t="s">
        <v>0</v>
      </c>
      <c r="C3" s="49" t="s">
        <v>414</v>
      </c>
      <c r="D3" s="49" t="s">
        <v>6</v>
      </c>
      <c r="E3" s="33" t="s">
        <v>415</v>
      </c>
      <c r="F3" s="33" t="s">
        <v>5</v>
      </c>
      <c r="G3" s="33" t="s">
        <v>10</v>
      </c>
      <c r="H3" s="33"/>
      <c r="I3" s="33"/>
      <c r="J3" s="33"/>
      <c r="K3" s="33" t="s">
        <v>172</v>
      </c>
      <c r="L3" s="33" t="s">
        <v>3</v>
      </c>
      <c r="M3" s="35" t="s">
        <v>2</v>
      </c>
    </row>
    <row r="4" spans="1:13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69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9" t="s">
        <v>68</v>
      </c>
      <c r="B6" s="8" t="s">
        <v>350</v>
      </c>
      <c r="C6" s="8" t="s">
        <v>351</v>
      </c>
      <c r="D6" s="8" t="s">
        <v>352</v>
      </c>
      <c r="E6" s="8" t="s">
        <v>416</v>
      </c>
      <c r="F6" s="8" t="s">
        <v>164</v>
      </c>
      <c r="G6" s="14" t="s">
        <v>295</v>
      </c>
      <c r="H6" s="15" t="s">
        <v>353</v>
      </c>
      <c r="I6" s="15" t="s">
        <v>354</v>
      </c>
      <c r="J6" s="9"/>
      <c r="K6" s="9" t="str">
        <f>"285,0"</f>
        <v>285,0</v>
      </c>
      <c r="L6" s="9" t="str">
        <f>"198,3030"</f>
        <v>198,3030</v>
      </c>
      <c r="M6" s="8" t="s">
        <v>166</v>
      </c>
    </row>
    <row r="7" spans="1:13">
      <c r="B7" s="5" t="s">
        <v>8</v>
      </c>
    </row>
    <row r="8" spans="1:13" ht="16">
      <c r="A8" s="50" t="s">
        <v>85</v>
      </c>
      <c r="B8" s="50"/>
      <c r="C8" s="51"/>
      <c r="D8" s="51"/>
      <c r="E8" s="51"/>
      <c r="F8" s="51"/>
      <c r="G8" s="51"/>
      <c r="H8" s="51"/>
      <c r="I8" s="51"/>
      <c r="J8" s="51"/>
    </row>
    <row r="9" spans="1:13">
      <c r="A9" s="9" t="s">
        <v>68</v>
      </c>
      <c r="B9" s="8" t="s">
        <v>355</v>
      </c>
      <c r="C9" s="8" t="s">
        <v>356</v>
      </c>
      <c r="D9" s="8" t="s">
        <v>357</v>
      </c>
      <c r="E9" s="8" t="s">
        <v>416</v>
      </c>
      <c r="F9" s="8" t="s">
        <v>164</v>
      </c>
      <c r="G9" s="15" t="s">
        <v>289</v>
      </c>
      <c r="H9" s="15" t="s">
        <v>252</v>
      </c>
      <c r="I9" s="14" t="s">
        <v>252</v>
      </c>
      <c r="J9" s="9"/>
      <c r="K9" s="9" t="str">
        <f>"330,0"</f>
        <v>330,0</v>
      </c>
      <c r="L9" s="9" t="str">
        <f>"191,8703"</f>
        <v>191,8703</v>
      </c>
      <c r="M9" s="8"/>
    </row>
    <row r="10" spans="1:13">
      <c r="B10" s="5" t="s">
        <v>8</v>
      </c>
    </row>
    <row r="11" spans="1:13" ht="16">
      <c r="A11" s="50" t="s">
        <v>49</v>
      </c>
      <c r="B11" s="50"/>
      <c r="C11" s="51"/>
      <c r="D11" s="51"/>
      <c r="E11" s="51"/>
      <c r="F11" s="51"/>
      <c r="G11" s="51"/>
      <c r="H11" s="51"/>
      <c r="I11" s="51"/>
      <c r="J11" s="51"/>
    </row>
    <row r="12" spans="1:13">
      <c r="A12" s="9" t="s">
        <v>84</v>
      </c>
      <c r="B12" s="8" t="s">
        <v>358</v>
      </c>
      <c r="C12" s="8" t="s">
        <v>359</v>
      </c>
      <c r="D12" s="8" t="s">
        <v>360</v>
      </c>
      <c r="E12" s="8" t="s">
        <v>416</v>
      </c>
      <c r="F12" s="8" t="s">
        <v>164</v>
      </c>
      <c r="G12" s="15" t="s">
        <v>361</v>
      </c>
      <c r="H12" s="15" t="s">
        <v>361</v>
      </c>
      <c r="I12" s="15" t="s">
        <v>362</v>
      </c>
      <c r="J12" s="9"/>
      <c r="K12" s="28">
        <v>0</v>
      </c>
      <c r="L12" s="9" t="str">
        <f>"0,0000"</f>
        <v>0,0000</v>
      </c>
      <c r="M12" s="8"/>
    </row>
    <row r="13" spans="1:13">
      <c r="B13" s="5" t="s">
        <v>8</v>
      </c>
    </row>
    <row r="14" spans="1:13">
      <c r="B14" s="5" t="s">
        <v>8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4"/>
  <dimension ref="A1:M14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7.5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6.83203125" style="5" customWidth="1"/>
    <col min="7" max="9" width="5.5" style="6" customWidth="1"/>
    <col min="10" max="10" width="4.5" style="6" customWidth="1"/>
    <col min="11" max="11" width="10.5" style="6" bestFit="1" customWidth="1"/>
    <col min="12" max="12" width="7.5" style="6" bestFit="1" customWidth="1"/>
    <col min="13" max="13" width="21.5" style="5" customWidth="1"/>
    <col min="14" max="16384" width="9.1640625" style="3"/>
  </cols>
  <sheetData>
    <row r="1" spans="1:13" s="2" customFormat="1" ht="29" customHeight="1">
      <c r="A1" s="39" t="s">
        <v>405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411</v>
      </c>
      <c r="B3" s="52" t="s">
        <v>0</v>
      </c>
      <c r="C3" s="49" t="s">
        <v>414</v>
      </c>
      <c r="D3" s="49" t="s">
        <v>6</v>
      </c>
      <c r="E3" s="33" t="s">
        <v>415</v>
      </c>
      <c r="F3" s="33" t="s">
        <v>5</v>
      </c>
      <c r="G3" s="33" t="s">
        <v>10</v>
      </c>
      <c r="H3" s="33"/>
      <c r="I3" s="33"/>
      <c r="J3" s="33"/>
      <c r="K3" s="33" t="s">
        <v>172</v>
      </c>
      <c r="L3" s="33" t="s">
        <v>3</v>
      </c>
      <c r="M3" s="35" t="s">
        <v>2</v>
      </c>
    </row>
    <row r="4" spans="1:13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23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9" t="s">
        <v>68</v>
      </c>
      <c r="B6" s="8" t="s">
        <v>363</v>
      </c>
      <c r="C6" s="8" t="s">
        <v>364</v>
      </c>
      <c r="D6" s="8" t="s">
        <v>113</v>
      </c>
      <c r="E6" s="8" t="s">
        <v>416</v>
      </c>
      <c r="F6" s="8" t="s">
        <v>15</v>
      </c>
      <c r="G6" s="14" t="s">
        <v>31</v>
      </c>
      <c r="H6" s="15" t="s">
        <v>20</v>
      </c>
      <c r="I6" s="14" t="s">
        <v>75</v>
      </c>
      <c r="J6" s="9"/>
      <c r="K6" s="9" t="str">
        <f>"80,0"</f>
        <v>80,0</v>
      </c>
      <c r="L6" s="9" t="str">
        <f>"60,5256"</f>
        <v>60,5256</v>
      </c>
      <c r="M6" s="8" t="s">
        <v>365</v>
      </c>
    </row>
    <row r="7" spans="1:13">
      <c r="B7" s="5" t="s">
        <v>8</v>
      </c>
    </row>
    <row r="8" spans="1:13" ht="16">
      <c r="A8" s="50" t="s">
        <v>128</v>
      </c>
      <c r="B8" s="50"/>
      <c r="C8" s="51"/>
      <c r="D8" s="51"/>
      <c r="E8" s="51"/>
      <c r="F8" s="51"/>
      <c r="G8" s="51"/>
      <c r="H8" s="51"/>
      <c r="I8" s="51"/>
      <c r="J8" s="51"/>
    </row>
    <row r="9" spans="1:13">
      <c r="A9" s="9" t="s">
        <v>68</v>
      </c>
      <c r="B9" s="8" t="s">
        <v>366</v>
      </c>
      <c r="C9" s="8" t="s">
        <v>367</v>
      </c>
      <c r="D9" s="8" t="s">
        <v>368</v>
      </c>
      <c r="E9" s="8" t="s">
        <v>416</v>
      </c>
      <c r="F9" s="8" t="s">
        <v>15</v>
      </c>
      <c r="G9" s="14" t="s">
        <v>16</v>
      </c>
      <c r="H9" s="14" t="s">
        <v>17</v>
      </c>
      <c r="I9" s="15" t="s">
        <v>205</v>
      </c>
      <c r="J9" s="9"/>
      <c r="K9" s="9" t="str">
        <f>"112,5"</f>
        <v>112,5</v>
      </c>
      <c r="L9" s="9" t="str">
        <f>"69,5362"</f>
        <v>69,5362</v>
      </c>
      <c r="M9" s="8" t="s">
        <v>369</v>
      </c>
    </row>
    <row r="10" spans="1:13">
      <c r="B10" s="5" t="s">
        <v>8</v>
      </c>
    </row>
    <row r="11" spans="1:13" ht="16">
      <c r="A11" s="50" t="s">
        <v>85</v>
      </c>
      <c r="B11" s="50"/>
      <c r="C11" s="51"/>
      <c r="D11" s="51"/>
      <c r="E11" s="51"/>
      <c r="F11" s="51"/>
      <c r="G11" s="51"/>
      <c r="H11" s="51"/>
      <c r="I11" s="51"/>
      <c r="J11" s="51"/>
    </row>
    <row r="12" spans="1:13">
      <c r="A12" s="9" t="s">
        <v>68</v>
      </c>
      <c r="B12" s="8" t="s">
        <v>370</v>
      </c>
      <c r="C12" s="8" t="s">
        <v>371</v>
      </c>
      <c r="D12" s="8" t="s">
        <v>372</v>
      </c>
      <c r="E12" s="8" t="s">
        <v>416</v>
      </c>
      <c r="F12" s="8" t="s">
        <v>15</v>
      </c>
      <c r="G12" s="14" t="s">
        <v>18</v>
      </c>
      <c r="H12" s="14" t="s">
        <v>199</v>
      </c>
      <c r="I12" s="15" t="s">
        <v>21</v>
      </c>
      <c r="J12" s="9"/>
      <c r="K12" s="9" t="str">
        <f>"125,0"</f>
        <v>125,0</v>
      </c>
      <c r="L12" s="9" t="str">
        <f>"75,5187"</f>
        <v>75,5187</v>
      </c>
      <c r="M12" s="8" t="s">
        <v>369</v>
      </c>
    </row>
    <row r="13" spans="1:13">
      <c r="B13" s="5" t="s">
        <v>8</v>
      </c>
    </row>
    <row r="14" spans="1:13">
      <c r="B14" s="5" t="s">
        <v>8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7"/>
  <dimension ref="A1:M23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8.83203125" style="5" bestFit="1" customWidth="1"/>
    <col min="3" max="3" width="27.6640625" style="5" bestFit="1" customWidth="1"/>
    <col min="4" max="4" width="20.83203125" style="5" bestFit="1" customWidth="1"/>
    <col min="5" max="5" width="10.1640625" style="5" bestFit="1" customWidth="1"/>
    <col min="6" max="6" width="24" style="5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20.83203125" style="5" customWidth="1"/>
    <col min="14" max="16384" width="9.1640625" style="3"/>
  </cols>
  <sheetData>
    <row r="1" spans="1:13" s="2" customFormat="1" ht="29" customHeight="1">
      <c r="A1" s="39" t="s">
        <v>406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411</v>
      </c>
      <c r="B3" s="52" t="s">
        <v>0</v>
      </c>
      <c r="C3" s="49" t="s">
        <v>414</v>
      </c>
      <c r="D3" s="49" t="s">
        <v>6</v>
      </c>
      <c r="E3" s="33" t="s">
        <v>415</v>
      </c>
      <c r="F3" s="33" t="s">
        <v>5</v>
      </c>
      <c r="G3" s="33" t="s">
        <v>11</v>
      </c>
      <c r="H3" s="33"/>
      <c r="I3" s="33"/>
      <c r="J3" s="33"/>
      <c r="K3" s="33" t="s">
        <v>172</v>
      </c>
      <c r="L3" s="33" t="s">
        <v>3</v>
      </c>
      <c r="M3" s="35" t="s">
        <v>2</v>
      </c>
    </row>
    <row r="4" spans="1:13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176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9" t="s">
        <v>68</v>
      </c>
      <c r="B6" s="8" t="s">
        <v>267</v>
      </c>
      <c r="C6" s="8" t="s">
        <v>268</v>
      </c>
      <c r="D6" s="8" t="s">
        <v>269</v>
      </c>
      <c r="E6" s="8" t="s">
        <v>416</v>
      </c>
      <c r="F6" s="8" t="s">
        <v>164</v>
      </c>
      <c r="G6" s="15" t="s">
        <v>28</v>
      </c>
      <c r="H6" s="14" t="s">
        <v>28</v>
      </c>
      <c r="I6" s="15" t="s">
        <v>270</v>
      </c>
      <c r="J6" s="9"/>
      <c r="K6" s="9" t="str">
        <f>"95,0"</f>
        <v>95,0</v>
      </c>
      <c r="L6" s="9" t="str">
        <f>"236,0560"</f>
        <v>236,0560</v>
      </c>
      <c r="M6" s="8" t="s">
        <v>271</v>
      </c>
    </row>
    <row r="7" spans="1:13">
      <c r="B7" s="5" t="s">
        <v>8</v>
      </c>
    </row>
    <row r="8" spans="1:13" ht="16">
      <c r="A8" s="50" t="s">
        <v>23</v>
      </c>
      <c r="B8" s="50"/>
      <c r="C8" s="51"/>
      <c r="D8" s="51"/>
      <c r="E8" s="51"/>
      <c r="F8" s="51"/>
      <c r="G8" s="51"/>
      <c r="H8" s="51"/>
      <c r="I8" s="51"/>
      <c r="J8" s="51"/>
    </row>
    <row r="9" spans="1:13">
      <c r="A9" s="17" t="s">
        <v>68</v>
      </c>
      <c r="B9" s="16" t="s">
        <v>24</v>
      </c>
      <c r="C9" s="16" t="s">
        <v>386</v>
      </c>
      <c r="D9" s="16" t="s">
        <v>25</v>
      </c>
      <c r="E9" s="16" t="s">
        <v>419</v>
      </c>
      <c r="F9" s="16" t="s">
        <v>15</v>
      </c>
      <c r="G9" s="22" t="s">
        <v>43</v>
      </c>
      <c r="H9" s="22" t="s">
        <v>44</v>
      </c>
      <c r="I9" s="17"/>
      <c r="J9" s="17"/>
      <c r="K9" s="17" t="str">
        <f>"142,5"</f>
        <v>142,5</v>
      </c>
      <c r="L9" s="17" t="str">
        <f>"176,2725"</f>
        <v>176,2725</v>
      </c>
      <c r="M9" s="16" t="s">
        <v>35</v>
      </c>
    </row>
    <row r="10" spans="1:13">
      <c r="A10" s="19" t="s">
        <v>68</v>
      </c>
      <c r="B10" s="18" t="s">
        <v>272</v>
      </c>
      <c r="C10" s="18" t="s">
        <v>273</v>
      </c>
      <c r="D10" s="18" t="s">
        <v>274</v>
      </c>
      <c r="E10" s="18" t="s">
        <v>416</v>
      </c>
      <c r="F10" s="18" t="s">
        <v>15</v>
      </c>
      <c r="G10" s="24" t="s">
        <v>55</v>
      </c>
      <c r="H10" s="24" t="s">
        <v>223</v>
      </c>
      <c r="I10" s="24" t="s">
        <v>165</v>
      </c>
      <c r="J10" s="19"/>
      <c r="K10" s="19" t="str">
        <f>"177,5"</f>
        <v>177,5</v>
      </c>
      <c r="L10" s="19" t="str">
        <f>"225,2475"</f>
        <v>225,2475</v>
      </c>
      <c r="M10" s="18" t="s">
        <v>60</v>
      </c>
    </row>
    <row r="11" spans="1:13">
      <c r="B11" s="5" t="s">
        <v>8</v>
      </c>
    </row>
    <row r="12" spans="1:13" ht="16">
      <c r="A12" s="50" t="s">
        <v>69</v>
      </c>
      <c r="B12" s="50"/>
      <c r="C12" s="51"/>
      <c r="D12" s="51"/>
      <c r="E12" s="51"/>
      <c r="F12" s="51"/>
      <c r="G12" s="51"/>
      <c r="H12" s="51"/>
      <c r="I12" s="51"/>
      <c r="J12" s="51"/>
    </row>
    <row r="13" spans="1:13">
      <c r="A13" s="9" t="s">
        <v>68</v>
      </c>
      <c r="B13" s="8" t="s">
        <v>275</v>
      </c>
      <c r="C13" s="8" t="s">
        <v>276</v>
      </c>
      <c r="D13" s="8" t="s">
        <v>277</v>
      </c>
      <c r="E13" s="8" t="s">
        <v>416</v>
      </c>
      <c r="F13" s="8" t="s">
        <v>15</v>
      </c>
      <c r="G13" s="14" t="s">
        <v>54</v>
      </c>
      <c r="H13" s="14" t="s">
        <v>89</v>
      </c>
      <c r="I13" s="15" t="s">
        <v>278</v>
      </c>
      <c r="J13" s="9"/>
      <c r="K13" s="9" t="str">
        <f>"215,0"</f>
        <v>215,0</v>
      </c>
      <c r="L13" s="9" t="str">
        <f>"244,6270"</f>
        <v>244,6270</v>
      </c>
      <c r="M13" s="8" t="s">
        <v>279</v>
      </c>
    </row>
    <row r="14" spans="1:13">
      <c r="B14" s="5" t="s">
        <v>8</v>
      </c>
    </row>
    <row r="15" spans="1:13" ht="16">
      <c r="A15" s="50" t="s">
        <v>128</v>
      </c>
      <c r="B15" s="50"/>
      <c r="C15" s="51"/>
      <c r="D15" s="51"/>
      <c r="E15" s="51"/>
      <c r="F15" s="51"/>
      <c r="G15" s="51"/>
      <c r="H15" s="51"/>
      <c r="I15" s="51"/>
      <c r="J15" s="51"/>
    </row>
    <row r="16" spans="1:13">
      <c r="A16" s="9" t="s">
        <v>68</v>
      </c>
      <c r="B16" s="8" t="s">
        <v>280</v>
      </c>
      <c r="C16" s="8" t="s">
        <v>281</v>
      </c>
      <c r="D16" s="8" t="s">
        <v>282</v>
      </c>
      <c r="E16" s="8" t="s">
        <v>416</v>
      </c>
      <c r="F16" s="8" t="s">
        <v>15</v>
      </c>
      <c r="G16" s="14" t="s">
        <v>47</v>
      </c>
      <c r="H16" s="14" t="s">
        <v>58</v>
      </c>
      <c r="I16" s="14" t="s">
        <v>249</v>
      </c>
      <c r="J16" s="9"/>
      <c r="K16" s="9" t="str">
        <f>"250,0"</f>
        <v>250,0</v>
      </c>
      <c r="L16" s="9" t="str">
        <f>"242,2500"</f>
        <v>242,2500</v>
      </c>
      <c r="M16" s="8"/>
    </row>
    <row r="17" spans="1:13">
      <c r="B17" s="5" t="s">
        <v>8</v>
      </c>
    </row>
    <row r="18" spans="1:13" ht="16">
      <c r="A18" s="50" t="s">
        <v>85</v>
      </c>
      <c r="B18" s="50"/>
      <c r="C18" s="51"/>
      <c r="D18" s="51"/>
      <c r="E18" s="51"/>
      <c r="F18" s="51"/>
      <c r="G18" s="51"/>
      <c r="H18" s="51"/>
      <c r="I18" s="51"/>
      <c r="J18" s="51"/>
    </row>
    <row r="19" spans="1:13">
      <c r="A19" s="9" t="s">
        <v>68</v>
      </c>
      <c r="B19" s="8" t="s">
        <v>283</v>
      </c>
      <c r="C19" s="8" t="s">
        <v>284</v>
      </c>
      <c r="D19" s="8" t="s">
        <v>285</v>
      </c>
      <c r="E19" s="8" t="s">
        <v>420</v>
      </c>
      <c r="F19" s="8" t="s">
        <v>164</v>
      </c>
      <c r="G19" s="14" t="s">
        <v>45</v>
      </c>
      <c r="H19" s="15" t="s">
        <v>89</v>
      </c>
      <c r="I19" s="9"/>
      <c r="J19" s="9"/>
      <c r="K19" s="9" t="str">
        <f>"210,0"</f>
        <v>210,0</v>
      </c>
      <c r="L19" s="9" t="str">
        <f>"289,8671"</f>
        <v>289,8671</v>
      </c>
      <c r="M19" s="8"/>
    </row>
    <row r="20" spans="1:13">
      <c r="B20" s="5" t="s">
        <v>8</v>
      </c>
    </row>
    <row r="21" spans="1:13" ht="16">
      <c r="A21" s="50" t="s">
        <v>77</v>
      </c>
      <c r="B21" s="50"/>
      <c r="C21" s="51"/>
      <c r="D21" s="51"/>
      <c r="E21" s="51"/>
      <c r="F21" s="51"/>
      <c r="G21" s="51"/>
      <c r="H21" s="51"/>
      <c r="I21" s="51"/>
      <c r="J21" s="51"/>
    </row>
    <row r="22" spans="1:13">
      <c r="A22" s="9" t="s">
        <v>68</v>
      </c>
      <c r="B22" s="8" t="s">
        <v>286</v>
      </c>
      <c r="C22" s="8" t="s">
        <v>287</v>
      </c>
      <c r="D22" s="8" t="s">
        <v>288</v>
      </c>
      <c r="E22" s="8" t="s">
        <v>416</v>
      </c>
      <c r="F22" s="8" t="s">
        <v>15</v>
      </c>
      <c r="G22" s="14" t="s">
        <v>289</v>
      </c>
      <c r="H22" s="15" t="s">
        <v>290</v>
      </c>
      <c r="I22" s="15" t="s">
        <v>290</v>
      </c>
      <c r="J22" s="9"/>
      <c r="K22" s="9" t="str">
        <f>"320,0"</f>
        <v>320,0</v>
      </c>
      <c r="L22" s="9" t="str">
        <f>"277,1200"</f>
        <v>277,1200</v>
      </c>
      <c r="M22" s="8"/>
    </row>
    <row r="23" spans="1:13">
      <c r="B23" s="5" t="s">
        <v>8</v>
      </c>
    </row>
  </sheetData>
  <mergeCells count="17">
    <mergeCell ref="A21:J21"/>
    <mergeCell ref="A5:J5"/>
    <mergeCell ref="A8:J8"/>
    <mergeCell ref="A12:J12"/>
    <mergeCell ref="A15:J15"/>
    <mergeCell ref="A18:J18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8"/>
  <dimension ref="A1:M35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9.33203125" style="5" bestFit="1" customWidth="1"/>
    <col min="3" max="3" width="27.6640625" style="5" bestFit="1" customWidth="1"/>
    <col min="4" max="4" width="20.83203125" style="5" bestFit="1" customWidth="1"/>
    <col min="5" max="5" width="10.1640625" style="5" bestFit="1" customWidth="1"/>
    <col min="6" max="6" width="28.164062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23.6640625" style="5" customWidth="1"/>
    <col min="14" max="16384" width="9.1640625" style="3"/>
  </cols>
  <sheetData>
    <row r="1" spans="1:13" s="2" customFormat="1" ht="29" customHeight="1">
      <c r="A1" s="39" t="s">
        <v>407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411</v>
      </c>
      <c r="B3" s="52" t="s">
        <v>0</v>
      </c>
      <c r="C3" s="49" t="s">
        <v>414</v>
      </c>
      <c r="D3" s="49" t="s">
        <v>6</v>
      </c>
      <c r="E3" s="33" t="s">
        <v>415</v>
      </c>
      <c r="F3" s="33" t="s">
        <v>5</v>
      </c>
      <c r="G3" s="33" t="s">
        <v>11</v>
      </c>
      <c r="H3" s="33"/>
      <c r="I3" s="33"/>
      <c r="J3" s="33"/>
      <c r="K3" s="33" t="s">
        <v>172</v>
      </c>
      <c r="L3" s="33" t="s">
        <v>3</v>
      </c>
      <c r="M3" s="35" t="s">
        <v>2</v>
      </c>
    </row>
    <row r="4" spans="1:13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92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9" t="s">
        <v>68</v>
      </c>
      <c r="B6" s="8" t="s">
        <v>235</v>
      </c>
      <c r="C6" s="8" t="s">
        <v>394</v>
      </c>
      <c r="D6" s="8" t="s">
        <v>236</v>
      </c>
      <c r="E6" s="8" t="s">
        <v>417</v>
      </c>
      <c r="F6" s="8" t="s">
        <v>237</v>
      </c>
      <c r="G6" s="14" t="s">
        <v>88</v>
      </c>
      <c r="H6" s="14" t="s">
        <v>114</v>
      </c>
      <c r="I6" s="14" t="s">
        <v>18</v>
      </c>
      <c r="J6" s="9"/>
      <c r="K6" s="9" t="str">
        <f>"120,0"</f>
        <v>120,0</v>
      </c>
      <c r="L6" s="9" t="str">
        <f>"199,1760"</f>
        <v>199,1760</v>
      </c>
      <c r="M6" s="8" t="s">
        <v>238</v>
      </c>
    </row>
    <row r="7" spans="1:13">
      <c r="B7" s="5" t="s">
        <v>8</v>
      </c>
    </row>
    <row r="8" spans="1:13" ht="16">
      <c r="A8" s="50" t="s">
        <v>69</v>
      </c>
      <c r="B8" s="50"/>
      <c r="C8" s="51"/>
      <c r="D8" s="51"/>
      <c r="E8" s="51"/>
      <c r="F8" s="51"/>
      <c r="G8" s="51"/>
      <c r="H8" s="51"/>
      <c r="I8" s="51"/>
      <c r="J8" s="51"/>
    </row>
    <row r="9" spans="1:13">
      <c r="A9" s="17" t="s">
        <v>68</v>
      </c>
      <c r="B9" s="16" t="s">
        <v>239</v>
      </c>
      <c r="C9" s="16" t="s">
        <v>240</v>
      </c>
      <c r="D9" s="16" t="s">
        <v>241</v>
      </c>
      <c r="E9" s="16" t="s">
        <v>416</v>
      </c>
      <c r="F9" s="16" t="s">
        <v>164</v>
      </c>
      <c r="G9" s="22" t="s">
        <v>46</v>
      </c>
      <c r="H9" s="22" t="s">
        <v>242</v>
      </c>
      <c r="I9" s="22" t="s">
        <v>243</v>
      </c>
      <c r="J9" s="17"/>
      <c r="K9" s="17" t="str">
        <f>"245,0"</f>
        <v>245,0</v>
      </c>
      <c r="L9" s="17" t="str">
        <f>"277,1440"</f>
        <v>277,1440</v>
      </c>
      <c r="M9" s="16" t="s">
        <v>166</v>
      </c>
    </row>
    <row r="10" spans="1:13">
      <c r="A10" s="19" t="s">
        <v>173</v>
      </c>
      <c r="B10" s="18" t="s">
        <v>244</v>
      </c>
      <c r="C10" s="18" t="s">
        <v>245</v>
      </c>
      <c r="D10" s="18" t="s">
        <v>246</v>
      </c>
      <c r="E10" s="18" t="s">
        <v>416</v>
      </c>
      <c r="F10" s="18" t="s">
        <v>180</v>
      </c>
      <c r="G10" s="24" t="s">
        <v>45</v>
      </c>
      <c r="H10" s="24" t="s">
        <v>132</v>
      </c>
      <c r="I10" s="27" t="s">
        <v>247</v>
      </c>
      <c r="J10" s="19"/>
      <c r="K10" s="19" t="str">
        <f>"225,0"</f>
        <v>225,0</v>
      </c>
      <c r="L10" s="19" t="str">
        <f>"266,1300"</f>
        <v>266,1300</v>
      </c>
      <c r="M10" s="18"/>
    </row>
    <row r="11" spans="1:13">
      <c r="B11" s="5" t="s">
        <v>8</v>
      </c>
    </row>
    <row r="12" spans="1:13" ht="16">
      <c r="A12" s="50" t="s">
        <v>36</v>
      </c>
      <c r="B12" s="50"/>
      <c r="C12" s="51"/>
      <c r="D12" s="51"/>
      <c r="E12" s="51"/>
      <c r="F12" s="51"/>
      <c r="G12" s="51"/>
      <c r="H12" s="51"/>
      <c r="I12" s="51"/>
      <c r="J12" s="51"/>
    </row>
    <row r="13" spans="1:13">
      <c r="A13" s="9" t="s">
        <v>68</v>
      </c>
      <c r="B13" s="8" t="s">
        <v>118</v>
      </c>
      <c r="C13" s="8" t="s">
        <v>119</v>
      </c>
      <c r="D13" s="8" t="s">
        <v>120</v>
      </c>
      <c r="E13" s="8" t="s">
        <v>416</v>
      </c>
      <c r="F13" s="8" t="s">
        <v>121</v>
      </c>
      <c r="G13" s="14" t="s">
        <v>247</v>
      </c>
      <c r="H13" s="14" t="s">
        <v>248</v>
      </c>
      <c r="I13" s="14" t="s">
        <v>249</v>
      </c>
      <c r="J13" s="9"/>
      <c r="K13" s="9" t="str">
        <f>"250,0"</f>
        <v>250,0</v>
      </c>
      <c r="L13" s="9" t="str">
        <f>"263,2000"</f>
        <v>263,2000</v>
      </c>
      <c r="M13" s="8" t="s">
        <v>124</v>
      </c>
    </row>
    <row r="14" spans="1:13">
      <c r="B14" s="5" t="s">
        <v>8</v>
      </c>
    </row>
    <row r="15" spans="1:13" ht="16">
      <c r="A15" s="50" t="s">
        <v>85</v>
      </c>
      <c r="B15" s="50"/>
      <c r="C15" s="51"/>
      <c r="D15" s="51"/>
      <c r="E15" s="51"/>
      <c r="F15" s="51"/>
      <c r="G15" s="51"/>
      <c r="H15" s="51"/>
      <c r="I15" s="51"/>
      <c r="J15" s="51"/>
    </row>
    <row r="16" spans="1:13">
      <c r="A16" s="9" t="s">
        <v>68</v>
      </c>
      <c r="B16" s="8" t="s">
        <v>148</v>
      </c>
      <c r="C16" s="8" t="s">
        <v>149</v>
      </c>
      <c r="D16" s="8" t="s">
        <v>150</v>
      </c>
      <c r="E16" s="8" t="s">
        <v>416</v>
      </c>
      <c r="F16" s="8" t="s">
        <v>121</v>
      </c>
      <c r="G16" s="14" t="s">
        <v>250</v>
      </c>
      <c r="H16" s="14" t="s">
        <v>251</v>
      </c>
      <c r="I16" s="15" t="s">
        <v>252</v>
      </c>
      <c r="J16" s="9"/>
      <c r="K16" s="9" t="str">
        <f>"325,0"</f>
        <v>325,0</v>
      </c>
      <c r="L16" s="9" t="str">
        <f>"299,9750"</f>
        <v>299,9750</v>
      </c>
      <c r="M16" s="8"/>
    </row>
    <row r="17" spans="1:13">
      <c r="B17" s="5" t="s">
        <v>8</v>
      </c>
    </row>
    <row r="18" spans="1:13" ht="16">
      <c r="A18" s="50" t="s">
        <v>49</v>
      </c>
      <c r="B18" s="50"/>
      <c r="C18" s="51"/>
      <c r="D18" s="51"/>
      <c r="E18" s="51"/>
      <c r="F18" s="51"/>
      <c r="G18" s="51"/>
      <c r="H18" s="51"/>
      <c r="I18" s="51"/>
      <c r="J18" s="51"/>
    </row>
    <row r="19" spans="1:13">
      <c r="A19" s="17" t="s">
        <v>68</v>
      </c>
      <c r="B19" s="16" t="s">
        <v>253</v>
      </c>
      <c r="C19" s="16" t="s">
        <v>254</v>
      </c>
      <c r="D19" s="16" t="s">
        <v>255</v>
      </c>
      <c r="E19" s="16" t="s">
        <v>416</v>
      </c>
      <c r="F19" s="16" t="s">
        <v>213</v>
      </c>
      <c r="G19" s="22" t="s">
        <v>65</v>
      </c>
      <c r="H19" s="23" t="s">
        <v>256</v>
      </c>
      <c r="I19" s="22" t="s">
        <v>256</v>
      </c>
      <c r="J19" s="17"/>
      <c r="K19" s="17" t="str">
        <f>"310,0"</f>
        <v>310,0</v>
      </c>
      <c r="L19" s="17" t="str">
        <f>"274,3500"</f>
        <v>274,3500</v>
      </c>
      <c r="M19" s="16"/>
    </row>
    <row r="20" spans="1:13">
      <c r="A20" s="21" t="s">
        <v>173</v>
      </c>
      <c r="B20" s="20" t="s">
        <v>257</v>
      </c>
      <c r="C20" s="20" t="s">
        <v>258</v>
      </c>
      <c r="D20" s="20" t="s">
        <v>259</v>
      </c>
      <c r="E20" s="20" t="s">
        <v>416</v>
      </c>
      <c r="F20" s="20" t="s">
        <v>15</v>
      </c>
      <c r="G20" s="25" t="s">
        <v>260</v>
      </c>
      <c r="H20" s="25" t="s">
        <v>261</v>
      </c>
      <c r="I20" s="26" t="s">
        <v>65</v>
      </c>
      <c r="J20" s="21"/>
      <c r="K20" s="21" t="str">
        <f>"280,0"</f>
        <v>280,0</v>
      </c>
      <c r="L20" s="21" t="str">
        <f>"249,9280"</f>
        <v>249,9280</v>
      </c>
      <c r="M20" s="20"/>
    </row>
    <row r="21" spans="1:13">
      <c r="A21" s="21" t="s">
        <v>174</v>
      </c>
      <c r="B21" s="20" t="s">
        <v>161</v>
      </c>
      <c r="C21" s="20" t="s">
        <v>262</v>
      </c>
      <c r="D21" s="20" t="s">
        <v>163</v>
      </c>
      <c r="E21" s="20" t="s">
        <v>416</v>
      </c>
      <c r="F21" s="20" t="s">
        <v>164</v>
      </c>
      <c r="G21" s="25" t="s">
        <v>42</v>
      </c>
      <c r="H21" s="25" t="s">
        <v>54</v>
      </c>
      <c r="I21" s="25" t="s">
        <v>45</v>
      </c>
      <c r="J21" s="21"/>
      <c r="K21" s="21" t="str">
        <f>"210,0"</f>
        <v>210,0</v>
      </c>
      <c r="L21" s="21" t="str">
        <f>"191,7300"</f>
        <v>191,7300</v>
      </c>
      <c r="M21" s="20" t="s">
        <v>166</v>
      </c>
    </row>
    <row r="22" spans="1:13">
      <c r="A22" s="19" t="s">
        <v>68</v>
      </c>
      <c r="B22" s="18" t="s">
        <v>253</v>
      </c>
      <c r="C22" s="18" t="s">
        <v>263</v>
      </c>
      <c r="D22" s="18" t="s">
        <v>255</v>
      </c>
      <c r="E22" s="18" t="s">
        <v>418</v>
      </c>
      <c r="F22" s="18" t="s">
        <v>213</v>
      </c>
      <c r="G22" s="24" t="s">
        <v>65</v>
      </c>
      <c r="H22" s="27" t="s">
        <v>256</v>
      </c>
      <c r="I22" s="24" t="s">
        <v>256</v>
      </c>
      <c r="J22" s="19"/>
      <c r="K22" s="19" t="str">
        <f>"310,0"</f>
        <v>310,0</v>
      </c>
      <c r="L22" s="19" t="str">
        <f>"300,6876"</f>
        <v>300,6876</v>
      </c>
      <c r="M22" s="18"/>
    </row>
    <row r="23" spans="1:13">
      <c r="B23" s="5" t="s">
        <v>8</v>
      </c>
    </row>
    <row r="24" spans="1:13" ht="16">
      <c r="A24" s="50" t="s">
        <v>77</v>
      </c>
      <c r="B24" s="50"/>
      <c r="C24" s="51"/>
      <c r="D24" s="51"/>
      <c r="E24" s="51"/>
      <c r="F24" s="51"/>
      <c r="G24" s="51"/>
      <c r="H24" s="51"/>
      <c r="I24" s="51"/>
      <c r="J24" s="51"/>
    </row>
    <row r="25" spans="1:13">
      <c r="A25" s="9" t="s">
        <v>68</v>
      </c>
      <c r="B25" s="8" t="s">
        <v>78</v>
      </c>
      <c r="C25" s="8" t="s">
        <v>79</v>
      </c>
      <c r="D25" s="8" t="s">
        <v>80</v>
      </c>
      <c r="E25" s="8" t="s">
        <v>416</v>
      </c>
      <c r="F25" s="8" t="s">
        <v>15</v>
      </c>
      <c r="G25" s="14" t="s">
        <v>249</v>
      </c>
      <c r="H25" s="14" t="s">
        <v>81</v>
      </c>
      <c r="I25" s="15" t="s">
        <v>261</v>
      </c>
      <c r="J25" s="9"/>
      <c r="K25" s="9" t="str">
        <f>"270,0"</f>
        <v>270,0</v>
      </c>
      <c r="L25" s="9" t="str">
        <f>"237,0600"</f>
        <v>237,0600</v>
      </c>
      <c r="M25" s="8" t="s">
        <v>82</v>
      </c>
    </row>
    <row r="26" spans="1:13">
      <c r="B26" s="5" t="s">
        <v>8</v>
      </c>
    </row>
    <row r="27" spans="1:13">
      <c r="B27" s="5" t="s">
        <v>8</v>
      </c>
    </row>
    <row r="28" spans="1:13" ht="18">
      <c r="B28" s="7" t="s">
        <v>7</v>
      </c>
      <c r="C28" s="7"/>
    </row>
    <row r="29" spans="1:13" ht="16">
      <c r="B29" s="10" t="s">
        <v>61</v>
      </c>
      <c r="C29" s="10"/>
    </row>
    <row r="30" spans="1:13" ht="14">
      <c r="B30" s="11"/>
      <c r="C30" s="12" t="s">
        <v>66</v>
      </c>
    </row>
    <row r="31" spans="1:13" ht="14">
      <c r="B31" s="13" t="s">
        <v>62</v>
      </c>
      <c r="C31" s="13" t="s">
        <v>63</v>
      </c>
      <c r="D31" s="13" t="s">
        <v>410</v>
      </c>
      <c r="E31" s="13" t="s">
        <v>167</v>
      </c>
      <c r="F31" s="13" t="s">
        <v>64</v>
      </c>
    </row>
    <row r="32" spans="1:13">
      <c r="B32" s="5" t="s">
        <v>148</v>
      </c>
      <c r="C32" s="5" t="s">
        <v>66</v>
      </c>
      <c r="D32" s="6" t="s">
        <v>91</v>
      </c>
      <c r="E32" s="6" t="s">
        <v>251</v>
      </c>
      <c r="F32" s="6" t="s">
        <v>264</v>
      </c>
    </row>
    <row r="33" spans="2:6">
      <c r="B33" s="5" t="s">
        <v>239</v>
      </c>
      <c r="C33" s="5" t="s">
        <v>66</v>
      </c>
      <c r="D33" s="6" t="s">
        <v>83</v>
      </c>
      <c r="E33" s="6" t="s">
        <v>243</v>
      </c>
      <c r="F33" s="6" t="s">
        <v>265</v>
      </c>
    </row>
    <row r="34" spans="2:6">
      <c r="B34" s="5" t="s">
        <v>253</v>
      </c>
      <c r="C34" s="5" t="s">
        <v>66</v>
      </c>
      <c r="D34" s="6" t="s">
        <v>67</v>
      </c>
      <c r="E34" s="6" t="s">
        <v>256</v>
      </c>
      <c r="F34" s="6" t="s">
        <v>266</v>
      </c>
    </row>
    <row r="35" spans="2:6">
      <c r="B35" s="5" t="s">
        <v>8</v>
      </c>
    </row>
  </sheetData>
  <mergeCells count="17">
    <mergeCell ref="A24:J24"/>
    <mergeCell ref="A5:J5"/>
    <mergeCell ref="A8:J8"/>
    <mergeCell ref="A12:J12"/>
    <mergeCell ref="A15:J15"/>
    <mergeCell ref="A18:J18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9"/>
  <dimension ref="A1:Q11"/>
  <sheetViews>
    <sheetView workbookViewId="0">
      <selection sqref="A1:Q2"/>
    </sheetView>
  </sheetViews>
  <sheetFormatPr baseColWidth="10" defaultColWidth="9.1640625" defaultRowHeight="13"/>
  <cols>
    <col min="1" max="1" width="7.1640625" style="5" bestFit="1" customWidth="1"/>
    <col min="2" max="2" width="21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5.83203125" style="5" customWidth="1"/>
    <col min="7" max="14" width="5.5" style="6" customWidth="1"/>
    <col min="15" max="15" width="7.6640625" style="6" bestFit="1" customWidth="1"/>
    <col min="16" max="16" width="7.5" style="6" bestFit="1" customWidth="1"/>
    <col min="17" max="17" width="21" style="5" customWidth="1"/>
    <col min="18" max="16384" width="9.1640625" style="3"/>
  </cols>
  <sheetData>
    <row r="1" spans="1:17" s="2" customFormat="1" ht="29" customHeight="1">
      <c r="A1" s="39" t="s">
        <v>408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17" s="1" customFormat="1" ht="12.75" customHeight="1">
      <c r="A3" s="47" t="s">
        <v>411</v>
      </c>
      <c r="B3" s="52" t="s">
        <v>0</v>
      </c>
      <c r="C3" s="49" t="s">
        <v>414</v>
      </c>
      <c r="D3" s="49" t="s">
        <v>6</v>
      </c>
      <c r="E3" s="33" t="s">
        <v>415</v>
      </c>
      <c r="F3" s="33" t="s">
        <v>5</v>
      </c>
      <c r="G3" s="33" t="s">
        <v>412</v>
      </c>
      <c r="H3" s="33"/>
      <c r="I3" s="33"/>
      <c r="J3" s="33"/>
      <c r="K3" s="33" t="s">
        <v>413</v>
      </c>
      <c r="L3" s="33"/>
      <c r="M3" s="33"/>
      <c r="N3" s="33"/>
      <c r="O3" s="33" t="s">
        <v>1</v>
      </c>
      <c r="P3" s="33" t="s">
        <v>3</v>
      </c>
      <c r="Q3" s="35" t="s">
        <v>2</v>
      </c>
    </row>
    <row r="4" spans="1:17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4"/>
      <c r="P4" s="34"/>
      <c r="Q4" s="36"/>
    </row>
    <row r="5" spans="1:17" ht="16">
      <c r="A5" s="37" t="s">
        <v>128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7">
      <c r="A6" s="9" t="s">
        <v>84</v>
      </c>
      <c r="B6" s="8" t="s">
        <v>374</v>
      </c>
      <c r="C6" s="8" t="s">
        <v>375</v>
      </c>
      <c r="D6" s="8" t="s">
        <v>376</v>
      </c>
      <c r="E6" s="8" t="s">
        <v>416</v>
      </c>
      <c r="F6" s="8" t="s">
        <v>15</v>
      </c>
      <c r="G6" s="15" t="s">
        <v>26</v>
      </c>
      <c r="H6" s="15" t="s">
        <v>26</v>
      </c>
      <c r="I6" s="15" t="s">
        <v>26</v>
      </c>
      <c r="J6" s="9"/>
      <c r="K6" s="15"/>
      <c r="L6" s="9"/>
      <c r="M6" s="9"/>
      <c r="N6" s="9"/>
      <c r="O6" s="28">
        <v>0</v>
      </c>
      <c r="P6" s="9" t="str">
        <f>"0,0000"</f>
        <v>0,0000</v>
      </c>
      <c r="Q6" s="8" t="s">
        <v>377</v>
      </c>
    </row>
    <row r="7" spans="1:17">
      <c r="B7" s="5" t="s">
        <v>8</v>
      </c>
    </row>
    <row r="8" spans="1:17" ht="16">
      <c r="A8" s="50" t="s">
        <v>85</v>
      </c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17">
      <c r="A9" s="17" t="s">
        <v>68</v>
      </c>
      <c r="B9" s="16" t="s">
        <v>378</v>
      </c>
      <c r="C9" s="16" t="s">
        <v>379</v>
      </c>
      <c r="D9" s="16" t="s">
        <v>380</v>
      </c>
      <c r="E9" s="16" t="s">
        <v>416</v>
      </c>
      <c r="F9" s="16" t="s">
        <v>15</v>
      </c>
      <c r="G9" s="22" t="s">
        <v>26</v>
      </c>
      <c r="H9" s="23" t="s">
        <v>218</v>
      </c>
      <c r="I9" s="17"/>
      <c r="J9" s="17"/>
      <c r="K9" s="22" t="s">
        <v>381</v>
      </c>
      <c r="L9" s="23" t="s">
        <v>30</v>
      </c>
      <c r="M9" s="22" t="s">
        <v>30</v>
      </c>
      <c r="N9" s="17"/>
      <c r="O9" s="17" t="str">
        <f>"152,5"</f>
        <v>152,5</v>
      </c>
      <c r="P9" s="17" t="str">
        <f>"90,8443"</f>
        <v>90,8443</v>
      </c>
      <c r="Q9" s="16"/>
    </row>
    <row r="10" spans="1:17">
      <c r="A10" s="19" t="s">
        <v>173</v>
      </c>
      <c r="B10" s="18" t="s">
        <v>382</v>
      </c>
      <c r="C10" s="18" t="s">
        <v>383</v>
      </c>
      <c r="D10" s="18" t="s">
        <v>384</v>
      </c>
      <c r="E10" s="18" t="s">
        <v>416</v>
      </c>
      <c r="F10" s="18" t="s">
        <v>15</v>
      </c>
      <c r="G10" s="24" t="s">
        <v>381</v>
      </c>
      <c r="H10" s="24" t="s">
        <v>30</v>
      </c>
      <c r="I10" s="27" t="s">
        <v>31</v>
      </c>
      <c r="J10" s="19"/>
      <c r="K10" s="24" t="s">
        <v>109</v>
      </c>
      <c r="L10" s="24" t="s">
        <v>110</v>
      </c>
      <c r="M10" s="27" t="s">
        <v>103</v>
      </c>
      <c r="N10" s="19"/>
      <c r="O10" s="19" t="str">
        <f>"115,0"</f>
        <v>115,0</v>
      </c>
      <c r="P10" s="19" t="str">
        <f>"69,2041"</f>
        <v>69,2041</v>
      </c>
      <c r="Q10" s="18" t="s">
        <v>377</v>
      </c>
    </row>
    <row r="11" spans="1:17">
      <c r="B11" s="5" t="s">
        <v>8</v>
      </c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0"/>
  <dimension ref="A1:M11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1.6640625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5.5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21.83203125" style="5" customWidth="1"/>
    <col min="14" max="16384" width="9.1640625" style="3"/>
  </cols>
  <sheetData>
    <row r="1" spans="1:13" s="2" customFormat="1" ht="29" customHeight="1">
      <c r="A1" s="39" t="s">
        <v>409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411</v>
      </c>
      <c r="B3" s="52" t="s">
        <v>0</v>
      </c>
      <c r="C3" s="49" t="s">
        <v>414</v>
      </c>
      <c r="D3" s="49" t="s">
        <v>6</v>
      </c>
      <c r="E3" s="33" t="s">
        <v>415</v>
      </c>
      <c r="F3" s="33" t="s">
        <v>5</v>
      </c>
      <c r="G3" s="33" t="s">
        <v>412</v>
      </c>
      <c r="H3" s="33"/>
      <c r="I3" s="33"/>
      <c r="J3" s="33"/>
      <c r="K3" s="33" t="s">
        <v>172</v>
      </c>
      <c r="L3" s="33" t="s">
        <v>3</v>
      </c>
      <c r="M3" s="35" t="s">
        <v>2</v>
      </c>
    </row>
    <row r="4" spans="1:13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128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17" t="s">
        <v>68</v>
      </c>
      <c r="B6" s="16" t="s">
        <v>133</v>
      </c>
      <c r="C6" s="16" t="s">
        <v>134</v>
      </c>
      <c r="D6" s="16" t="s">
        <v>135</v>
      </c>
      <c r="E6" s="16" t="s">
        <v>416</v>
      </c>
      <c r="F6" s="16" t="s">
        <v>136</v>
      </c>
      <c r="G6" s="22" t="s">
        <v>322</v>
      </c>
      <c r="H6" s="22" t="s">
        <v>19</v>
      </c>
      <c r="I6" s="23" t="s">
        <v>75</v>
      </c>
      <c r="J6" s="17"/>
      <c r="K6" s="17" t="str">
        <f>"75,0"</f>
        <v>75,0</v>
      </c>
      <c r="L6" s="17" t="str">
        <f>"46,6950"</f>
        <v>46,6950</v>
      </c>
      <c r="M6" s="16"/>
    </row>
    <row r="7" spans="1:13">
      <c r="A7" s="19" t="s">
        <v>173</v>
      </c>
      <c r="B7" s="18" t="s">
        <v>143</v>
      </c>
      <c r="C7" s="18" t="s">
        <v>144</v>
      </c>
      <c r="D7" s="18" t="s">
        <v>145</v>
      </c>
      <c r="E7" s="18" t="s">
        <v>416</v>
      </c>
      <c r="F7" s="18" t="s">
        <v>136</v>
      </c>
      <c r="G7" s="24" t="s">
        <v>29</v>
      </c>
      <c r="H7" s="24" t="s">
        <v>322</v>
      </c>
      <c r="I7" s="27" t="s">
        <v>31</v>
      </c>
      <c r="J7" s="19"/>
      <c r="K7" s="19" t="str">
        <f>"70,0"</f>
        <v>70,0</v>
      </c>
      <c r="L7" s="19" t="str">
        <f>"43,1655"</f>
        <v>43,1655</v>
      </c>
      <c r="M7" s="18" t="s">
        <v>147</v>
      </c>
    </row>
    <row r="8" spans="1:13">
      <c r="B8" s="5" t="s">
        <v>8</v>
      </c>
    </row>
    <row r="9" spans="1:13" ht="16">
      <c r="A9" s="50" t="s">
        <v>85</v>
      </c>
      <c r="B9" s="50"/>
      <c r="C9" s="51"/>
      <c r="D9" s="51"/>
      <c r="E9" s="51"/>
      <c r="F9" s="51"/>
      <c r="G9" s="51"/>
      <c r="H9" s="51"/>
      <c r="I9" s="51"/>
      <c r="J9" s="51"/>
    </row>
    <row r="10" spans="1:13">
      <c r="A10" s="9" t="s">
        <v>68</v>
      </c>
      <c r="B10" s="8" t="s">
        <v>148</v>
      </c>
      <c r="C10" s="8" t="s">
        <v>149</v>
      </c>
      <c r="D10" s="8" t="s">
        <v>150</v>
      </c>
      <c r="E10" s="8" t="s">
        <v>416</v>
      </c>
      <c r="F10" s="8" t="s">
        <v>121</v>
      </c>
      <c r="G10" s="15" t="s">
        <v>75</v>
      </c>
      <c r="H10" s="14" t="s">
        <v>373</v>
      </c>
      <c r="I10" s="15" t="s">
        <v>26</v>
      </c>
      <c r="J10" s="9"/>
      <c r="K10" s="9" t="str">
        <f>"82,5"</f>
        <v>82,5</v>
      </c>
      <c r="L10" s="9" t="str">
        <f>"48,3739"</f>
        <v>48,3739</v>
      </c>
      <c r="M10" s="8"/>
    </row>
    <row r="11" spans="1:13">
      <c r="B11" s="5" t="s">
        <v>8</v>
      </c>
    </row>
  </sheetData>
  <mergeCells count="13">
    <mergeCell ref="A9:J9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U7"/>
  <sheetViews>
    <sheetView zoomScaleNormal="100" workbookViewId="0">
      <selection sqref="A1:U2"/>
    </sheetView>
  </sheetViews>
  <sheetFormatPr baseColWidth="10" defaultColWidth="9.1640625" defaultRowHeight="13"/>
  <cols>
    <col min="1" max="1" width="7.1640625" style="5" bestFit="1" customWidth="1"/>
    <col min="2" max="2" width="18.1640625" style="5" customWidth="1"/>
    <col min="3" max="3" width="28.5" style="5" bestFit="1" customWidth="1"/>
    <col min="4" max="4" width="20.83203125" style="5" bestFit="1" customWidth="1"/>
    <col min="5" max="5" width="10.1640625" style="5" bestFit="1" customWidth="1"/>
    <col min="6" max="6" width="20.33203125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6" bestFit="1" customWidth="1"/>
    <col min="20" max="20" width="8.5" style="6" bestFit="1" customWidth="1"/>
    <col min="21" max="21" width="20" style="5" customWidth="1"/>
    <col min="22" max="16384" width="9.1640625" style="3"/>
  </cols>
  <sheetData>
    <row r="1" spans="1:21" s="2" customFormat="1" ht="29" customHeight="1">
      <c r="A1" s="39" t="s">
        <v>396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>
      <c r="A3" s="47" t="s">
        <v>411</v>
      </c>
      <c r="B3" s="52" t="s">
        <v>0</v>
      </c>
      <c r="C3" s="49" t="s">
        <v>414</v>
      </c>
      <c r="D3" s="49" t="s">
        <v>6</v>
      </c>
      <c r="E3" s="33" t="s">
        <v>415</v>
      </c>
      <c r="F3" s="33" t="s">
        <v>5</v>
      </c>
      <c r="G3" s="33" t="s">
        <v>9</v>
      </c>
      <c r="H3" s="33"/>
      <c r="I3" s="33"/>
      <c r="J3" s="33"/>
      <c r="K3" s="33" t="s">
        <v>10</v>
      </c>
      <c r="L3" s="33"/>
      <c r="M3" s="33"/>
      <c r="N3" s="33"/>
      <c r="O3" s="33" t="s">
        <v>11</v>
      </c>
      <c r="P3" s="33"/>
      <c r="Q3" s="33"/>
      <c r="R3" s="33"/>
      <c r="S3" s="33" t="s">
        <v>1</v>
      </c>
      <c r="T3" s="33" t="s">
        <v>3</v>
      </c>
      <c r="U3" s="35" t="s">
        <v>2</v>
      </c>
    </row>
    <row r="4" spans="1:21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4"/>
      <c r="T4" s="34"/>
      <c r="U4" s="36"/>
    </row>
    <row r="5" spans="1:21" ht="16">
      <c r="A5" s="37" t="s">
        <v>85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21">
      <c r="A6" s="9" t="s">
        <v>68</v>
      </c>
      <c r="B6" s="8" t="s">
        <v>86</v>
      </c>
      <c r="C6" s="8" t="s">
        <v>387</v>
      </c>
      <c r="D6" s="8" t="s">
        <v>87</v>
      </c>
      <c r="E6" s="8" t="s">
        <v>424</v>
      </c>
      <c r="F6" s="8" t="s">
        <v>15</v>
      </c>
      <c r="G6" s="14" t="s">
        <v>55</v>
      </c>
      <c r="H6" s="14" t="s">
        <v>74</v>
      </c>
      <c r="I6" s="15" t="s">
        <v>76</v>
      </c>
      <c r="J6" s="9"/>
      <c r="K6" s="14" t="s">
        <v>88</v>
      </c>
      <c r="L6" s="14" t="s">
        <v>16</v>
      </c>
      <c r="M6" s="9"/>
      <c r="N6" s="9"/>
      <c r="O6" s="14" t="s">
        <v>42</v>
      </c>
      <c r="P6" s="14" t="s">
        <v>45</v>
      </c>
      <c r="Q6" s="15" t="s">
        <v>89</v>
      </c>
      <c r="R6" s="9"/>
      <c r="S6" s="9" t="str">
        <f>"475,0"</f>
        <v>475,0</v>
      </c>
      <c r="T6" s="9" t="str">
        <f>"455,4300"</f>
        <v>455,4300</v>
      </c>
      <c r="U6" s="8" t="s">
        <v>90</v>
      </c>
    </row>
    <row r="7" spans="1:21">
      <c r="B7" s="5" t="s">
        <v>8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U10"/>
  <sheetViews>
    <sheetView zoomScaleNormal="100" workbookViewId="0">
      <selection sqref="A1:U2"/>
    </sheetView>
  </sheetViews>
  <sheetFormatPr baseColWidth="10" defaultColWidth="9.1640625" defaultRowHeight="13"/>
  <cols>
    <col min="1" max="1" width="7.1640625" style="5" bestFit="1" customWidth="1"/>
    <col min="2" max="2" width="18.5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4.1640625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6" bestFit="1" customWidth="1"/>
    <col min="20" max="20" width="8.5" style="6" bestFit="1" customWidth="1"/>
    <col min="21" max="21" width="15.83203125" style="5" bestFit="1" customWidth="1"/>
    <col min="22" max="16384" width="9.1640625" style="3"/>
  </cols>
  <sheetData>
    <row r="1" spans="1:21" s="2" customFormat="1" ht="29" customHeight="1">
      <c r="A1" s="39" t="s">
        <v>397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>
      <c r="A3" s="47" t="s">
        <v>411</v>
      </c>
      <c r="B3" s="52" t="s">
        <v>0</v>
      </c>
      <c r="C3" s="49" t="s">
        <v>414</v>
      </c>
      <c r="D3" s="49" t="s">
        <v>6</v>
      </c>
      <c r="E3" s="33" t="s">
        <v>415</v>
      </c>
      <c r="F3" s="33" t="s">
        <v>5</v>
      </c>
      <c r="G3" s="33" t="s">
        <v>9</v>
      </c>
      <c r="H3" s="33"/>
      <c r="I3" s="33"/>
      <c r="J3" s="33"/>
      <c r="K3" s="33" t="s">
        <v>10</v>
      </c>
      <c r="L3" s="33"/>
      <c r="M3" s="33"/>
      <c r="N3" s="33"/>
      <c r="O3" s="33" t="s">
        <v>11</v>
      </c>
      <c r="P3" s="33"/>
      <c r="Q3" s="33"/>
      <c r="R3" s="33"/>
      <c r="S3" s="33" t="s">
        <v>1</v>
      </c>
      <c r="T3" s="33" t="s">
        <v>3</v>
      </c>
      <c r="U3" s="35" t="s">
        <v>2</v>
      </c>
    </row>
    <row r="4" spans="1:21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4"/>
      <c r="T4" s="34"/>
      <c r="U4" s="36"/>
    </row>
    <row r="5" spans="1:21" ht="16">
      <c r="A5" s="37" t="s">
        <v>69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21">
      <c r="A6" s="9" t="s">
        <v>68</v>
      </c>
      <c r="B6" s="8" t="s">
        <v>70</v>
      </c>
      <c r="C6" s="8" t="s">
        <v>71</v>
      </c>
      <c r="D6" s="8" t="s">
        <v>72</v>
      </c>
      <c r="E6" s="8" t="s">
        <v>416</v>
      </c>
      <c r="F6" s="8" t="s">
        <v>73</v>
      </c>
      <c r="G6" s="14" t="s">
        <v>74</v>
      </c>
      <c r="H6" s="14" t="s">
        <v>57</v>
      </c>
      <c r="I6" s="14" t="s">
        <v>41</v>
      </c>
      <c r="J6" s="9"/>
      <c r="K6" s="14" t="s">
        <v>19</v>
      </c>
      <c r="L6" s="14" t="s">
        <v>75</v>
      </c>
      <c r="M6" s="14" t="s">
        <v>26</v>
      </c>
      <c r="N6" s="9"/>
      <c r="O6" s="14" t="s">
        <v>74</v>
      </c>
      <c r="P6" s="14" t="s">
        <v>76</v>
      </c>
      <c r="Q6" s="14" t="s">
        <v>40</v>
      </c>
      <c r="R6" s="9"/>
      <c r="S6" s="9" t="str">
        <f>"455,0"</f>
        <v>455,0</v>
      </c>
      <c r="T6" s="9" t="str">
        <f>"523,7050"</f>
        <v>523,7050</v>
      </c>
      <c r="U6" s="8"/>
    </row>
    <row r="7" spans="1:21">
      <c r="B7" s="5" t="s">
        <v>8</v>
      </c>
    </row>
    <row r="8" spans="1:21" ht="16">
      <c r="A8" s="50" t="s">
        <v>77</v>
      </c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21">
      <c r="A9" s="9" t="s">
        <v>84</v>
      </c>
      <c r="B9" s="8" t="s">
        <v>78</v>
      </c>
      <c r="C9" s="8" t="s">
        <v>79</v>
      </c>
      <c r="D9" s="8" t="s">
        <v>80</v>
      </c>
      <c r="E9" s="8" t="s">
        <v>416</v>
      </c>
      <c r="F9" s="8" t="s">
        <v>15</v>
      </c>
      <c r="G9" s="14" t="s">
        <v>42</v>
      </c>
      <c r="H9" s="15" t="s">
        <v>46</v>
      </c>
      <c r="I9" s="14" t="s">
        <v>47</v>
      </c>
      <c r="J9" s="9"/>
      <c r="K9" s="15" t="s">
        <v>74</v>
      </c>
      <c r="L9" s="15" t="s">
        <v>74</v>
      </c>
      <c r="M9" s="15" t="s">
        <v>74</v>
      </c>
      <c r="N9" s="9"/>
      <c r="O9" s="15"/>
      <c r="P9" s="9"/>
      <c r="Q9" s="9"/>
      <c r="R9" s="9"/>
      <c r="S9" s="28">
        <v>0</v>
      </c>
      <c r="T9" s="9" t="str">
        <f>"0,0000"</f>
        <v>0,0000</v>
      </c>
      <c r="U9" s="8" t="s">
        <v>82</v>
      </c>
    </row>
    <row r="10" spans="1:21">
      <c r="B10" s="5" t="s">
        <v>8</v>
      </c>
    </row>
  </sheetData>
  <mergeCells count="15">
    <mergeCell ref="A8:R8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Q11"/>
  <sheetViews>
    <sheetView zoomScaleNormal="100" workbookViewId="0">
      <selection sqref="A1:Q2"/>
    </sheetView>
  </sheetViews>
  <sheetFormatPr baseColWidth="10" defaultColWidth="9.1640625" defaultRowHeight="13"/>
  <cols>
    <col min="1" max="1" width="7.1640625" style="5" bestFit="1" customWidth="1"/>
    <col min="2" max="2" width="19.33203125" style="5" customWidth="1"/>
    <col min="3" max="3" width="27.5" style="5" bestFit="1" customWidth="1"/>
    <col min="4" max="4" width="20.83203125" style="5" bestFit="1" customWidth="1"/>
    <col min="5" max="5" width="10.1640625" style="5" bestFit="1" customWidth="1"/>
    <col min="6" max="6" width="26.33203125" style="5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5" width="7.6640625" style="6" bestFit="1" customWidth="1"/>
    <col min="16" max="16" width="8.5" style="6" bestFit="1" customWidth="1"/>
    <col min="17" max="17" width="19" style="5" customWidth="1"/>
    <col min="18" max="16384" width="9.1640625" style="3"/>
  </cols>
  <sheetData>
    <row r="1" spans="1:17" s="2" customFormat="1" ht="29" customHeight="1">
      <c r="A1" s="39" t="s">
        <v>398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17" s="1" customFormat="1" ht="12.75" customHeight="1">
      <c r="A3" s="47" t="s">
        <v>411</v>
      </c>
      <c r="B3" s="52" t="s">
        <v>0</v>
      </c>
      <c r="C3" s="49" t="s">
        <v>414</v>
      </c>
      <c r="D3" s="49" t="s">
        <v>6</v>
      </c>
      <c r="E3" s="33" t="s">
        <v>415</v>
      </c>
      <c r="F3" s="33" t="s">
        <v>5</v>
      </c>
      <c r="G3" s="33" t="s">
        <v>10</v>
      </c>
      <c r="H3" s="33"/>
      <c r="I3" s="33"/>
      <c r="J3" s="33"/>
      <c r="K3" s="33" t="s">
        <v>11</v>
      </c>
      <c r="L3" s="33"/>
      <c r="M3" s="33"/>
      <c r="N3" s="33"/>
      <c r="O3" s="33" t="s">
        <v>1</v>
      </c>
      <c r="P3" s="33" t="s">
        <v>3</v>
      </c>
      <c r="Q3" s="35" t="s">
        <v>2</v>
      </c>
    </row>
    <row r="4" spans="1:17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4"/>
      <c r="P4" s="34"/>
      <c r="Q4" s="36"/>
    </row>
    <row r="5" spans="1:17" ht="16">
      <c r="A5" s="37" t="s">
        <v>69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7">
      <c r="A6" s="9" t="s">
        <v>68</v>
      </c>
      <c r="B6" s="8" t="s">
        <v>296</v>
      </c>
      <c r="C6" s="8" t="s">
        <v>297</v>
      </c>
      <c r="D6" s="8" t="s">
        <v>298</v>
      </c>
      <c r="E6" s="8" t="s">
        <v>418</v>
      </c>
      <c r="F6" s="8" t="s">
        <v>15</v>
      </c>
      <c r="G6" s="14" t="s">
        <v>26</v>
      </c>
      <c r="H6" s="14" t="s">
        <v>218</v>
      </c>
      <c r="I6" s="14" t="s">
        <v>27</v>
      </c>
      <c r="J6" s="9"/>
      <c r="K6" s="14" t="s">
        <v>21</v>
      </c>
      <c r="L6" s="9"/>
      <c r="M6" s="9"/>
      <c r="N6" s="9"/>
      <c r="O6" s="9" t="str">
        <f>"222,5"</f>
        <v>222,5</v>
      </c>
      <c r="P6" s="9" t="str">
        <f>"264,0208"</f>
        <v>264,0208</v>
      </c>
      <c r="Q6" s="8" t="s">
        <v>299</v>
      </c>
    </row>
    <row r="7" spans="1:17">
      <c r="B7" s="5" t="s">
        <v>8</v>
      </c>
    </row>
    <row r="8" spans="1:17" ht="16">
      <c r="A8" s="50" t="s">
        <v>85</v>
      </c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17">
      <c r="A9" s="9" t="s">
        <v>68</v>
      </c>
      <c r="B9" s="8" t="s">
        <v>283</v>
      </c>
      <c r="C9" s="8" t="s">
        <v>284</v>
      </c>
      <c r="D9" s="8" t="s">
        <v>285</v>
      </c>
      <c r="E9" s="8" t="s">
        <v>420</v>
      </c>
      <c r="F9" s="8" t="s">
        <v>164</v>
      </c>
      <c r="G9" s="14" t="s">
        <v>205</v>
      </c>
      <c r="H9" s="14" t="s">
        <v>33</v>
      </c>
      <c r="I9" s="15" t="s">
        <v>199</v>
      </c>
      <c r="J9" s="9"/>
      <c r="K9" s="14" t="s">
        <v>45</v>
      </c>
      <c r="L9" s="15" t="s">
        <v>89</v>
      </c>
      <c r="M9" s="9"/>
      <c r="N9" s="9"/>
      <c r="O9" s="9" t="str">
        <f>"332,5"</f>
        <v>332,5</v>
      </c>
      <c r="P9" s="9" t="str">
        <f>"458,9563"</f>
        <v>458,9563</v>
      </c>
      <c r="Q9" s="8"/>
    </row>
    <row r="10" spans="1:17">
      <c r="B10" s="5" t="s">
        <v>8</v>
      </c>
    </row>
    <row r="11" spans="1:17">
      <c r="B11" s="5" t="s">
        <v>8</v>
      </c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Q7"/>
  <sheetViews>
    <sheetView zoomScaleNormal="100" workbookViewId="0">
      <selection sqref="A1:Q2"/>
    </sheetView>
  </sheetViews>
  <sheetFormatPr baseColWidth="10" defaultColWidth="9.1640625" defaultRowHeight="13"/>
  <cols>
    <col min="1" max="1" width="7.1640625" style="5" bestFit="1" customWidth="1"/>
    <col min="2" max="2" width="18.83203125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6.33203125" style="5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5" width="7.6640625" style="6" bestFit="1" customWidth="1"/>
    <col min="16" max="16" width="8.5" style="6" bestFit="1" customWidth="1"/>
    <col min="17" max="17" width="19.33203125" style="5" customWidth="1"/>
    <col min="18" max="16384" width="9.1640625" style="3"/>
  </cols>
  <sheetData>
    <row r="1" spans="1:17" s="2" customFormat="1" ht="29" customHeight="1">
      <c r="A1" s="39" t="s">
        <v>399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17" s="1" customFormat="1" ht="12.75" customHeight="1">
      <c r="A3" s="47" t="s">
        <v>411</v>
      </c>
      <c r="B3" s="52" t="s">
        <v>0</v>
      </c>
      <c r="C3" s="49" t="s">
        <v>414</v>
      </c>
      <c r="D3" s="49" t="s">
        <v>6</v>
      </c>
      <c r="E3" s="33" t="s">
        <v>415</v>
      </c>
      <c r="F3" s="33" t="s">
        <v>5</v>
      </c>
      <c r="G3" s="33" t="s">
        <v>10</v>
      </c>
      <c r="H3" s="33"/>
      <c r="I3" s="33"/>
      <c r="J3" s="33"/>
      <c r="K3" s="33" t="s">
        <v>11</v>
      </c>
      <c r="L3" s="33"/>
      <c r="M3" s="33"/>
      <c r="N3" s="33"/>
      <c r="O3" s="33" t="s">
        <v>1</v>
      </c>
      <c r="P3" s="33" t="s">
        <v>3</v>
      </c>
      <c r="Q3" s="35" t="s">
        <v>2</v>
      </c>
    </row>
    <row r="4" spans="1:17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4"/>
      <c r="P4" s="34"/>
      <c r="Q4" s="36"/>
    </row>
    <row r="5" spans="1:17" ht="16">
      <c r="A5" s="37" t="s">
        <v>36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7">
      <c r="A6" s="9" t="s">
        <v>68</v>
      </c>
      <c r="B6" s="8" t="s">
        <v>291</v>
      </c>
      <c r="C6" s="8" t="s">
        <v>292</v>
      </c>
      <c r="D6" s="8" t="s">
        <v>293</v>
      </c>
      <c r="E6" s="8" t="s">
        <v>416</v>
      </c>
      <c r="F6" s="8" t="s">
        <v>15</v>
      </c>
      <c r="G6" s="14" t="s">
        <v>114</v>
      </c>
      <c r="H6" s="14" t="s">
        <v>32</v>
      </c>
      <c r="I6" s="15" t="s">
        <v>18</v>
      </c>
      <c r="J6" s="9"/>
      <c r="K6" s="14" t="s">
        <v>55</v>
      </c>
      <c r="L6" s="14" t="s">
        <v>74</v>
      </c>
      <c r="M6" s="14" t="s">
        <v>76</v>
      </c>
      <c r="N6" s="9"/>
      <c r="O6" s="9" t="str">
        <f>"285,0"</f>
        <v>285,0</v>
      </c>
      <c r="P6" s="9" t="str">
        <f>"307,0590"</f>
        <v>307,0590</v>
      </c>
      <c r="Q6" s="8" t="s">
        <v>294</v>
      </c>
    </row>
    <row r="7" spans="1:17">
      <c r="B7" s="5" t="s">
        <v>8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M43"/>
  <sheetViews>
    <sheetView zoomScaleNormal="100" workbookViewId="0">
      <selection activeCell="E34" sqref="E34"/>
    </sheetView>
  </sheetViews>
  <sheetFormatPr baseColWidth="10" defaultColWidth="9.1640625" defaultRowHeight="13"/>
  <cols>
    <col min="1" max="1" width="7.1640625" style="5" bestFit="1" customWidth="1"/>
    <col min="2" max="2" width="18.5" style="5" bestFit="1" customWidth="1"/>
    <col min="3" max="3" width="27.6640625" style="5" bestFit="1" customWidth="1"/>
    <col min="4" max="4" width="20.83203125" style="5" bestFit="1" customWidth="1"/>
    <col min="5" max="5" width="10.1640625" style="5" bestFit="1" customWidth="1"/>
    <col min="6" max="6" width="30.1640625" style="5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22.6640625" style="5" customWidth="1"/>
    <col min="14" max="16384" width="9.1640625" style="3"/>
  </cols>
  <sheetData>
    <row r="1" spans="1:13" s="2" customFormat="1" ht="29" customHeight="1">
      <c r="A1" s="39" t="s">
        <v>400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411</v>
      </c>
      <c r="B3" s="52" t="s">
        <v>0</v>
      </c>
      <c r="C3" s="49" t="s">
        <v>414</v>
      </c>
      <c r="D3" s="49" t="s">
        <v>6</v>
      </c>
      <c r="E3" s="33" t="s">
        <v>415</v>
      </c>
      <c r="F3" s="33" t="s">
        <v>5</v>
      </c>
      <c r="G3" s="33" t="s">
        <v>10</v>
      </c>
      <c r="H3" s="33"/>
      <c r="I3" s="33"/>
      <c r="J3" s="33"/>
      <c r="K3" s="33" t="s">
        <v>172</v>
      </c>
      <c r="L3" s="33" t="s">
        <v>3</v>
      </c>
      <c r="M3" s="35" t="s">
        <v>2</v>
      </c>
    </row>
    <row r="4" spans="1:13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176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9" t="s">
        <v>68</v>
      </c>
      <c r="B6" s="8" t="s">
        <v>177</v>
      </c>
      <c r="C6" s="8" t="s">
        <v>178</v>
      </c>
      <c r="D6" s="8" t="s">
        <v>179</v>
      </c>
      <c r="E6" s="8" t="s">
        <v>416</v>
      </c>
      <c r="F6" s="8" t="s">
        <v>180</v>
      </c>
      <c r="G6" s="14" t="s">
        <v>110</v>
      </c>
      <c r="H6" s="14" t="s">
        <v>105</v>
      </c>
      <c r="I6" s="14" t="s">
        <v>181</v>
      </c>
      <c r="J6" s="9"/>
      <c r="K6" s="9" t="str">
        <f>"55,0"</f>
        <v>55,0</v>
      </c>
      <c r="L6" s="9" t="str">
        <f>"130,1850"</f>
        <v>130,1850</v>
      </c>
      <c r="M6" s="8" t="s">
        <v>182</v>
      </c>
    </row>
    <row r="7" spans="1:13">
      <c r="B7" s="5" t="s">
        <v>8</v>
      </c>
    </row>
    <row r="8" spans="1:13" ht="16">
      <c r="A8" s="50" t="s">
        <v>183</v>
      </c>
      <c r="B8" s="50"/>
      <c r="C8" s="51"/>
      <c r="D8" s="51"/>
      <c r="E8" s="51"/>
      <c r="F8" s="51"/>
      <c r="G8" s="51"/>
      <c r="H8" s="51"/>
      <c r="I8" s="51"/>
      <c r="J8" s="51"/>
    </row>
    <row r="9" spans="1:13">
      <c r="A9" s="9" t="s">
        <v>68</v>
      </c>
      <c r="B9" s="8" t="s">
        <v>184</v>
      </c>
      <c r="C9" s="8" t="s">
        <v>185</v>
      </c>
      <c r="D9" s="8" t="s">
        <v>186</v>
      </c>
      <c r="E9" s="8" t="s">
        <v>416</v>
      </c>
      <c r="F9" s="8" t="s">
        <v>15</v>
      </c>
      <c r="G9" s="14" t="s">
        <v>105</v>
      </c>
      <c r="H9" s="14" t="s">
        <v>181</v>
      </c>
      <c r="I9" s="15" t="s">
        <v>187</v>
      </c>
      <c r="J9" s="9"/>
      <c r="K9" s="9" t="str">
        <f>"55,0"</f>
        <v>55,0</v>
      </c>
      <c r="L9" s="9" t="str">
        <f>"117,5680"</f>
        <v>117,5680</v>
      </c>
      <c r="M9" s="8" t="s">
        <v>99</v>
      </c>
    </row>
    <row r="10" spans="1:13">
      <c r="B10" s="5" t="s">
        <v>8</v>
      </c>
    </row>
    <row r="11" spans="1:13" ht="16">
      <c r="A11" s="50" t="s">
        <v>23</v>
      </c>
      <c r="B11" s="50"/>
      <c r="C11" s="51"/>
      <c r="D11" s="51"/>
      <c r="E11" s="51"/>
      <c r="F11" s="51"/>
      <c r="G11" s="51"/>
      <c r="H11" s="51"/>
      <c r="I11" s="51"/>
      <c r="J11" s="51"/>
    </row>
    <row r="12" spans="1:13">
      <c r="A12" s="9" t="s">
        <v>68</v>
      </c>
      <c r="B12" s="8" t="s">
        <v>188</v>
      </c>
      <c r="C12" s="8" t="s">
        <v>388</v>
      </c>
      <c r="D12" s="8" t="s">
        <v>189</v>
      </c>
      <c r="E12" s="8" t="s">
        <v>419</v>
      </c>
      <c r="F12" s="8" t="s">
        <v>15</v>
      </c>
      <c r="G12" s="15" t="s">
        <v>88</v>
      </c>
      <c r="H12" s="14" t="s">
        <v>88</v>
      </c>
      <c r="I12" s="15" t="s">
        <v>16</v>
      </c>
      <c r="J12" s="9"/>
      <c r="K12" s="9" t="str">
        <f>"100,0"</f>
        <v>100,0</v>
      </c>
      <c r="L12" s="9" t="str">
        <f>"128,4000"</f>
        <v>128,4000</v>
      </c>
      <c r="M12" s="8" t="s">
        <v>22</v>
      </c>
    </row>
    <row r="13" spans="1:13">
      <c r="B13" s="5" t="s">
        <v>8</v>
      </c>
    </row>
    <row r="14" spans="1:13" ht="16">
      <c r="A14" s="50" t="s">
        <v>69</v>
      </c>
      <c r="B14" s="50"/>
      <c r="C14" s="51"/>
      <c r="D14" s="51"/>
      <c r="E14" s="51"/>
      <c r="F14" s="51"/>
      <c r="G14" s="51"/>
      <c r="H14" s="51"/>
      <c r="I14" s="51"/>
      <c r="J14" s="51"/>
    </row>
    <row r="15" spans="1:13">
      <c r="A15" s="17" t="s">
        <v>68</v>
      </c>
      <c r="B15" s="16" t="s">
        <v>190</v>
      </c>
      <c r="C15" s="16" t="s">
        <v>389</v>
      </c>
      <c r="D15" s="16" t="s">
        <v>191</v>
      </c>
      <c r="E15" s="16" t="s">
        <v>419</v>
      </c>
      <c r="F15" s="16" t="s">
        <v>15</v>
      </c>
      <c r="G15" s="22" t="s">
        <v>26</v>
      </c>
      <c r="H15" s="23" t="s">
        <v>28</v>
      </c>
      <c r="I15" s="23" t="s">
        <v>28</v>
      </c>
      <c r="J15" s="17"/>
      <c r="K15" s="17" t="str">
        <f>"85,0"</f>
        <v>85,0</v>
      </c>
      <c r="L15" s="17" t="str">
        <f>"98,3280"</f>
        <v>98,3280</v>
      </c>
      <c r="M15" s="16" t="s">
        <v>192</v>
      </c>
    </row>
    <row r="16" spans="1:13">
      <c r="A16" s="21" t="s">
        <v>68</v>
      </c>
      <c r="B16" s="20" t="s">
        <v>193</v>
      </c>
      <c r="C16" s="20" t="s">
        <v>194</v>
      </c>
      <c r="D16" s="20" t="s">
        <v>195</v>
      </c>
      <c r="E16" s="20" t="s">
        <v>416</v>
      </c>
      <c r="F16" s="20" t="s">
        <v>73</v>
      </c>
      <c r="G16" s="25" t="s">
        <v>21</v>
      </c>
      <c r="H16" s="26" t="s">
        <v>43</v>
      </c>
      <c r="I16" s="25" t="s">
        <v>43</v>
      </c>
      <c r="J16" s="21"/>
      <c r="K16" s="21" t="str">
        <f>"135,0"</f>
        <v>135,0</v>
      </c>
      <c r="L16" s="21" t="str">
        <f>"150,7950"</f>
        <v>150,7950</v>
      </c>
      <c r="M16" s="20"/>
    </row>
    <row r="17" spans="1:13">
      <c r="A17" s="21" t="s">
        <v>173</v>
      </c>
      <c r="B17" s="20" t="s">
        <v>196</v>
      </c>
      <c r="C17" s="20" t="s">
        <v>197</v>
      </c>
      <c r="D17" s="20" t="s">
        <v>198</v>
      </c>
      <c r="E17" s="20" t="s">
        <v>416</v>
      </c>
      <c r="F17" s="20" t="s">
        <v>15</v>
      </c>
      <c r="G17" s="26" t="s">
        <v>199</v>
      </c>
      <c r="H17" s="26" t="s">
        <v>200</v>
      </c>
      <c r="I17" s="25" t="s">
        <v>200</v>
      </c>
      <c r="J17" s="21"/>
      <c r="K17" s="21" t="str">
        <f>"127,5"</f>
        <v>127,5</v>
      </c>
      <c r="L17" s="21" t="str">
        <f>"146,3445"</f>
        <v>146,3445</v>
      </c>
      <c r="M17" s="20" t="s">
        <v>201</v>
      </c>
    </row>
    <row r="18" spans="1:13">
      <c r="A18" s="19" t="s">
        <v>174</v>
      </c>
      <c r="B18" s="18" t="s">
        <v>202</v>
      </c>
      <c r="C18" s="18" t="s">
        <v>203</v>
      </c>
      <c r="D18" s="18" t="s">
        <v>204</v>
      </c>
      <c r="E18" s="18" t="s">
        <v>416</v>
      </c>
      <c r="F18" s="18" t="s">
        <v>15</v>
      </c>
      <c r="G18" s="24" t="s">
        <v>114</v>
      </c>
      <c r="H18" s="24" t="s">
        <v>205</v>
      </c>
      <c r="I18" s="24" t="s">
        <v>18</v>
      </c>
      <c r="J18" s="19"/>
      <c r="K18" s="19" t="str">
        <f>"120,0"</f>
        <v>120,0</v>
      </c>
      <c r="L18" s="19" t="str">
        <f>"134,2560"</f>
        <v>134,2560</v>
      </c>
      <c r="M18" s="18" t="s">
        <v>99</v>
      </c>
    </row>
    <row r="19" spans="1:13">
      <c r="B19" s="5" t="s">
        <v>8</v>
      </c>
    </row>
    <row r="20" spans="1:13" ht="16">
      <c r="A20" s="50" t="s">
        <v>36</v>
      </c>
      <c r="B20" s="50"/>
      <c r="C20" s="51"/>
      <c r="D20" s="51"/>
      <c r="E20" s="51"/>
      <c r="F20" s="51"/>
      <c r="G20" s="51"/>
      <c r="H20" s="51"/>
      <c r="I20" s="51"/>
      <c r="J20" s="51"/>
    </row>
    <row r="21" spans="1:13">
      <c r="A21" s="9" t="s">
        <v>68</v>
      </c>
      <c r="B21" s="8" t="s">
        <v>206</v>
      </c>
      <c r="C21" s="8" t="s">
        <v>207</v>
      </c>
      <c r="D21" s="8" t="s">
        <v>208</v>
      </c>
      <c r="E21" s="8" t="s">
        <v>416</v>
      </c>
      <c r="F21" s="8" t="s">
        <v>15</v>
      </c>
      <c r="G21" s="15" t="s">
        <v>21</v>
      </c>
      <c r="H21" s="14" t="s">
        <v>21</v>
      </c>
      <c r="I21" s="14" t="s">
        <v>43</v>
      </c>
      <c r="J21" s="9"/>
      <c r="K21" s="9" t="str">
        <f>"135,0"</f>
        <v>135,0</v>
      </c>
      <c r="L21" s="9" t="str">
        <f>"140,7780"</f>
        <v>140,7780</v>
      </c>
      <c r="M21" s="8" t="s">
        <v>209</v>
      </c>
    </row>
    <row r="22" spans="1:13">
      <c r="B22" s="5" t="s">
        <v>8</v>
      </c>
    </row>
    <row r="23" spans="1:13" ht="16">
      <c r="A23" s="50" t="s">
        <v>128</v>
      </c>
      <c r="B23" s="50"/>
      <c r="C23" s="51"/>
      <c r="D23" s="51"/>
      <c r="E23" s="51"/>
      <c r="F23" s="51"/>
      <c r="G23" s="51"/>
      <c r="H23" s="51"/>
      <c r="I23" s="51"/>
      <c r="J23" s="51"/>
    </row>
    <row r="24" spans="1:13">
      <c r="A24" s="17" t="s">
        <v>68</v>
      </c>
      <c r="B24" s="16" t="s">
        <v>210</v>
      </c>
      <c r="C24" s="16" t="s">
        <v>211</v>
      </c>
      <c r="D24" s="16" t="s">
        <v>212</v>
      </c>
      <c r="E24" s="16" t="s">
        <v>416</v>
      </c>
      <c r="F24" s="16" t="s">
        <v>213</v>
      </c>
      <c r="G24" s="22" t="s">
        <v>55</v>
      </c>
      <c r="H24" s="22" t="s">
        <v>214</v>
      </c>
      <c r="I24" s="22" t="s">
        <v>74</v>
      </c>
      <c r="J24" s="17"/>
      <c r="K24" s="17" t="str">
        <f>"160,0"</f>
        <v>160,0</v>
      </c>
      <c r="L24" s="17" t="str">
        <f>"156,0320"</f>
        <v>156,0320</v>
      </c>
      <c r="M24" s="16"/>
    </row>
    <row r="25" spans="1:13">
      <c r="A25" s="19" t="s">
        <v>68</v>
      </c>
      <c r="B25" s="18" t="s">
        <v>210</v>
      </c>
      <c r="C25" s="18" t="s">
        <v>215</v>
      </c>
      <c r="D25" s="18" t="s">
        <v>212</v>
      </c>
      <c r="E25" s="18" t="s">
        <v>422</v>
      </c>
      <c r="F25" s="18" t="s">
        <v>213</v>
      </c>
      <c r="G25" s="24" t="s">
        <v>55</v>
      </c>
      <c r="H25" s="24" t="s">
        <v>214</v>
      </c>
      <c r="I25" s="24" t="s">
        <v>74</v>
      </c>
      <c r="J25" s="19"/>
      <c r="K25" s="19" t="str">
        <f>"160,0"</f>
        <v>160,0</v>
      </c>
      <c r="L25" s="19" t="str">
        <f>"188,3306"</f>
        <v>188,3306</v>
      </c>
      <c r="M25" s="18"/>
    </row>
    <row r="26" spans="1:13">
      <c r="B26" s="5" t="s">
        <v>8</v>
      </c>
    </row>
    <row r="27" spans="1:13" ht="16">
      <c r="A27" s="50" t="s">
        <v>85</v>
      </c>
      <c r="B27" s="50"/>
      <c r="C27" s="51"/>
      <c r="D27" s="51"/>
      <c r="E27" s="51"/>
      <c r="F27" s="51"/>
      <c r="G27" s="51"/>
      <c r="H27" s="51"/>
      <c r="I27" s="51"/>
      <c r="J27" s="51"/>
    </row>
    <row r="28" spans="1:13">
      <c r="A28" s="17" t="s">
        <v>68</v>
      </c>
      <c r="B28" s="16" t="s">
        <v>216</v>
      </c>
      <c r="C28" s="16" t="s">
        <v>390</v>
      </c>
      <c r="D28" s="16" t="s">
        <v>217</v>
      </c>
      <c r="E28" s="16" t="s">
        <v>419</v>
      </c>
      <c r="F28" s="16" t="s">
        <v>15</v>
      </c>
      <c r="G28" s="22" t="s">
        <v>75</v>
      </c>
      <c r="H28" s="22" t="s">
        <v>26</v>
      </c>
      <c r="I28" s="23" t="s">
        <v>218</v>
      </c>
      <c r="J28" s="17"/>
      <c r="K28" s="17" t="str">
        <f>"85,0"</f>
        <v>85,0</v>
      </c>
      <c r="L28" s="17" t="str">
        <f>"80,8350"</f>
        <v>80,8350</v>
      </c>
      <c r="M28" s="16" t="s">
        <v>219</v>
      </c>
    </row>
    <row r="29" spans="1:13">
      <c r="A29" s="19" t="s">
        <v>68</v>
      </c>
      <c r="B29" s="18" t="s">
        <v>220</v>
      </c>
      <c r="C29" s="18" t="s">
        <v>221</v>
      </c>
      <c r="D29" s="18" t="s">
        <v>222</v>
      </c>
      <c r="E29" s="18" t="s">
        <v>416</v>
      </c>
      <c r="F29" s="18" t="s">
        <v>15</v>
      </c>
      <c r="G29" s="24" t="s">
        <v>56</v>
      </c>
      <c r="H29" s="24" t="s">
        <v>223</v>
      </c>
      <c r="I29" s="24" t="s">
        <v>224</v>
      </c>
      <c r="J29" s="19"/>
      <c r="K29" s="19" t="str">
        <f>"172,5"</f>
        <v>172,5</v>
      </c>
      <c r="L29" s="19" t="str">
        <f>"157,8375"</f>
        <v>157,8375</v>
      </c>
      <c r="M29" s="18"/>
    </row>
    <row r="30" spans="1:13">
      <c r="B30" s="5" t="s">
        <v>8</v>
      </c>
    </row>
    <row r="31" spans="1:13" ht="16">
      <c r="A31" s="50" t="s">
        <v>49</v>
      </c>
      <c r="B31" s="50"/>
      <c r="C31" s="51"/>
      <c r="D31" s="51"/>
      <c r="E31" s="51"/>
      <c r="F31" s="51"/>
      <c r="G31" s="51"/>
      <c r="H31" s="51"/>
      <c r="I31" s="51"/>
      <c r="J31" s="51"/>
    </row>
    <row r="32" spans="1:13">
      <c r="A32" s="17" t="s">
        <v>68</v>
      </c>
      <c r="B32" s="16" t="s">
        <v>225</v>
      </c>
      <c r="C32" s="16" t="s">
        <v>226</v>
      </c>
      <c r="D32" s="16" t="s">
        <v>227</v>
      </c>
      <c r="E32" s="16" t="s">
        <v>416</v>
      </c>
      <c r="F32" s="16" t="s">
        <v>15</v>
      </c>
      <c r="G32" s="22" t="s">
        <v>74</v>
      </c>
      <c r="H32" s="22" t="s">
        <v>56</v>
      </c>
      <c r="I32" s="23" t="s">
        <v>223</v>
      </c>
      <c r="J32" s="17"/>
      <c r="K32" s="17" t="str">
        <f>"165,0"</f>
        <v>165,0</v>
      </c>
      <c r="L32" s="17" t="str">
        <f>"147,5430"</f>
        <v>147,5430</v>
      </c>
      <c r="M32" s="16" t="s">
        <v>228</v>
      </c>
    </row>
    <row r="33" spans="1:13">
      <c r="A33" s="19" t="s">
        <v>173</v>
      </c>
      <c r="B33" s="18" t="s">
        <v>229</v>
      </c>
      <c r="C33" s="18" t="s">
        <v>230</v>
      </c>
      <c r="D33" s="18" t="s">
        <v>231</v>
      </c>
      <c r="E33" s="18" t="s">
        <v>416</v>
      </c>
      <c r="F33" s="18" t="s">
        <v>15</v>
      </c>
      <c r="G33" s="24" t="s">
        <v>55</v>
      </c>
      <c r="H33" s="24" t="s">
        <v>214</v>
      </c>
      <c r="I33" s="24" t="s">
        <v>74</v>
      </c>
      <c r="J33" s="19"/>
      <c r="K33" s="19" t="str">
        <f>"160,0"</f>
        <v>160,0</v>
      </c>
      <c r="L33" s="19" t="str">
        <f>"144,1600"</f>
        <v>144,1600</v>
      </c>
      <c r="M33" s="18" t="s">
        <v>99</v>
      </c>
    </row>
    <row r="34" spans="1:13">
      <c r="B34" s="5" t="s">
        <v>8</v>
      </c>
    </row>
    <row r="35" spans="1:13">
      <c r="B35" s="5" t="s">
        <v>8</v>
      </c>
    </row>
    <row r="36" spans="1:13">
      <c r="B36" s="5" t="s">
        <v>8</v>
      </c>
    </row>
    <row r="37" spans="1:13" ht="18">
      <c r="B37" s="7" t="s">
        <v>7</v>
      </c>
      <c r="C37" s="7"/>
    </row>
    <row r="38" spans="1:13" ht="16">
      <c r="B38" s="10" t="s">
        <v>61</v>
      </c>
      <c r="C38" s="10"/>
    </row>
    <row r="39" spans="1:13" ht="14">
      <c r="B39" s="11"/>
      <c r="C39" s="12" t="s">
        <v>66</v>
      </c>
    </row>
    <row r="40" spans="1:13" ht="14">
      <c r="B40" s="13" t="s">
        <v>62</v>
      </c>
      <c r="C40" s="13" t="s">
        <v>63</v>
      </c>
      <c r="D40" s="13" t="s">
        <v>410</v>
      </c>
      <c r="E40" s="13" t="s">
        <v>167</v>
      </c>
      <c r="F40" s="13" t="s">
        <v>64</v>
      </c>
    </row>
    <row r="41" spans="1:13">
      <c r="B41" s="5" t="s">
        <v>220</v>
      </c>
      <c r="C41" s="5" t="s">
        <v>66</v>
      </c>
      <c r="D41" s="6" t="s">
        <v>91</v>
      </c>
      <c r="E41" s="6" t="s">
        <v>224</v>
      </c>
      <c r="F41" s="6" t="s">
        <v>232</v>
      </c>
    </row>
    <row r="42" spans="1:13">
      <c r="B42" s="5" t="s">
        <v>210</v>
      </c>
      <c r="C42" s="5" t="s">
        <v>66</v>
      </c>
      <c r="D42" s="6" t="s">
        <v>168</v>
      </c>
      <c r="E42" s="6" t="s">
        <v>74</v>
      </c>
      <c r="F42" s="6" t="s">
        <v>233</v>
      </c>
    </row>
    <row r="43" spans="1:13">
      <c r="B43" s="5" t="s">
        <v>193</v>
      </c>
      <c r="C43" s="5" t="s">
        <v>66</v>
      </c>
      <c r="D43" s="6" t="s">
        <v>83</v>
      </c>
      <c r="E43" s="6" t="s">
        <v>43</v>
      </c>
      <c r="F43" s="6" t="s">
        <v>234</v>
      </c>
    </row>
  </sheetData>
  <mergeCells count="19">
    <mergeCell ref="A31:J31"/>
    <mergeCell ref="B3:B4"/>
    <mergeCell ref="A8:J8"/>
    <mergeCell ref="A11:J11"/>
    <mergeCell ref="A14:J14"/>
    <mergeCell ref="A20:J20"/>
    <mergeCell ref="A23:J23"/>
    <mergeCell ref="A27:J27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M47"/>
  <sheetViews>
    <sheetView topLeftCell="A15" zoomScaleNormal="100" workbookViewId="0">
      <selection activeCell="F38" sqref="F38"/>
    </sheetView>
  </sheetViews>
  <sheetFormatPr baseColWidth="10" defaultColWidth="9.1640625" defaultRowHeight="13"/>
  <cols>
    <col min="1" max="1" width="7.1640625" style="5" bestFit="1" customWidth="1"/>
    <col min="2" max="2" width="21.6640625" style="5" bestFit="1" customWidth="1"/>
    <col min="3" max="3" width="27.5" style="5" bestFit="1" customWidth="1"/>
    <col min="4" max="4" width="20.83203125" style="5" bestFit="1" customWidth="1"/>
    <col min="5" max="5" width="10.1640625" style="5" bestFit="1" customWidth="1"/>
    <col min="6" max="6" width="25.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24" style="5" customWidth="1"/>
    <col min="14" max="16384" width="9.1640625" style="3"/>
  </cols>
  <sheetData>
    <row r="1" spans="1:13" s="2" customFormat="1" ht="29" customHeight="1">
      <c r="A1" s="39" t="s">
        <v>401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411</v>
      </c>
      <c r="B3" s="52" t="s">
        <v>0</v>
      </c>
      <c r="C3" s="49" t="s">
        <v>414</v>
      </c>
      <c r="D3" s="49" t="s">
        <v>6</v>
      </c>
      <c r="E3" s="33" t="s">
        <v>415</v>
      </c>
      <c r="F3" s="33" t="s">
        <v>5</v>
      </c>
      <c r="G3" s="33" t="s">
        <v>10</v>
      </c>
      <c r="H3" s="33"/>
      <c r="I3" s="33"/>
      <c r="J3" s="33"/>
      <c r="K3" s="33" t="s">
        <v>172</v>
      </c>
      <c r="L3" s="33" t="s">
        <v>3</v>
      </c>
      <c r="M3" s="35" t="s">
        <v>2</v>
      </c>
    </row>
    <row r="4" spans="1:13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92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9" t="s">
        <v>68</v>
      </c>
      <c r="B6" s="8" t="s">
        <v>93</v>
      </c>
      <c r="C6" s="8" t="s">
        <v>94</v>
      </c>
      <c r="D6" s="8" t="s">
        <v>95</v>
      </c>
      <c r="E6" s="8" t="str">
        <f>"1,9380"</f>
        <v>1,9380</v>
      </c>
      <c r="F6" s="8" t="s">
        <v>15</v>
      </c>
      <c r="G6" s="14" t="s">
        <v>96</v>
      </c>
      <c r="H6" s="14" t="s">
        <v>97</v>
      </c>
      <c r="I6" s="15" t="s">
        <v>98</v>
      </c>
      <c r="J6" s="9"/>
      <c r="K6" s="9" t="str">
        <f>"40,0"</f>
        <v>40,0</v>
      </c>
      <c r="L6" s="9" t="str">
        <f>"77,5200"</f>
        <v>77,5200</v>
      </c>
      <c r="M6" s="8" t="s">
        <v>99</v>
      </c>
    </row>
    <row r="7" spans="1:13">
      <c r="B7" s="5" t="s">
        <v>8</v>
      </c>
    </row>
    <row r="8" spans="1:13" ht="16">
      <c r="A8" s="50" t="s">
        <v>12</v>
      </c>
      <c r="B8" s="50"/>
      <c r="C8" s="51"/>
      <c r="D8" s="51"/>
      <c r="E8" s="51"/>
      <c r="F8" s="51"/>
      <c r="G8" s="51"/>
      <c r="H8" s="51"/>
      <c r="I8" s="51"/>
      <c r="J8" s="51"/>
    </row>
    <row r="9" spans="1:13">
      <c r="A9" s="9" t="s">
        <v>68</v>
      </c>
      <c r="B9" s="8" t="s">
        <v>100</v>
      </c>
      <c r="C9" s="8" t="s">
        <v>101</v>
      </c>
      <c r="D9" s="8" t="s">
        <v>102</v>
      </c>
      <c r="E9" s="8" t="s">
        <v>418</v>
      </c>
      <c r="F9" s="8" t="s">
        <v>15</v>
      </c>
      <c r="G9" s="14" t="s">
        <v>103</v>
      </c>
      <c r="H9" s="15" t="s">
        <v>104</v>
      </c>
      <c r="I9" s="15" t="s">
        <v>105</v>
      </c>
      <c r="J9" s="9"/>
      <c r="K9" s="9" t="str">
        <f>"50,0"</f>
        <v>50,0</v>
      </c>
      <c r="L9" s="9" t="str">
        <f>"96,0167"</f>
        <v>96,0167</v>
      </c>
      <c r="M9" s="8" t="s">
        <v>99</v>
      </c>
    </row>
    <row r="10" spans="1:13">
      <c r="B10" s="5" t="s">
        <v>8</v>
      </c>
    </row>
    <row r="11" spans="1:13" ht="16">
      <c r="A11" s="50" t="s">
        <v>69</v>
      </c>
      <c r="B11" s="50"/>
      <c r="C11" s="51"/>
      <c r="D11" s="51"/>
      <c r="E11" s="51"/>
      <c r="F11" s="51"/>
      <c r="G11" s="51"/>
      <c r="H11" s="51"/>
      <c r="I11" s="51"/>
      <c r="J11" s="51"/>
    </row>
    <row r="12" spans="1:13">
      <c r="A12" s="9" t="s">
        <v>68</v>
      </c>
      <c r="B12" s="8" t="s">
        <v>106</v>
      </c>
      <c r="C12" s="8" t="s">
        <v>107</v>
      </c>
      <c r="D12" s="8" t="s">
        <v>108</v>
      </c>
      <c r="E12" s="8" t="s">
        <v>416</v>
      </c>
      <c r="F12" s="8" t="s">
        <v>15</v>
      </c>
      <c r="G12" s="14" t="s">
        <v>98</v>
      </c>
      <c r="H12" s="14" t="s">
        <v>109</v>
      </c>
      <c r="I12" s="15" t="s">
        <v>110</v>
      </c>
      <c r="J12" s="9"/>
      <c r="K12" s="9" t="str">
        <f>"45,0"</f>
        <v>45,0</v>
      </c>
      <c r="L12" s="9" t="str">
        <f>"69,7320"</f>
        <v>69,7320</v>
      </c>
      <c r="M12" s="8" t="s">
        <v>99</v>
      </c>
    </row>
    <row r="13" spans="1:13">
      <c r="B13" s="5" t="s">
        <v>8</v>
      </c>
    </row>
    <row r="14" spans="1:13" ht="16">
      <c r="A14" s="50" t="s">
        <v>23</v>
      </c>
      <c r="B14" s="50"/>
      <c r="C14" s="51"/>
      <c r="D14" s="51"/>
      <c r="E14" s="51"/>
      <c r="F14" s="51"/>
      <c r="G14" s="51"/>
      <c r="H14" s="51"/>
      <c r="I14" s="51"/>
      <c r="J14" s="51"/>
    </row>
    <row r="15" spans="1:13">
      <c r="A15" s="9" t="s">
        <v>68</v>
      </c>
      <c r="B15" s="8" t="s">
        <v>111</v>
      </c>
      <c r="C15" s="8" t="s">
        <v>112</v>
      </c>
      <c r="D15" s="8" t="s">
        <v>113</v>
      </c>
      <c r="E15" s="8" t="s">
        <v>418</v>
      </c>
      <c r="F15" s="8" t="s">
        <v>15</v>
      </c>
      <c r="G15" s="14" t="s">
        <v>88</v>
      </c>
      <c r="H15" s="14" t="s">
        <v>114</v>
      </c>
      <c r="I15" s="15" t="s">
        <v>18</v>
      </c>
      <c r="J15" s="9"/>
      <c r="K15" s="9" t="str">
        <f>"110,0"</f>
        <v>110,0</v>
      </c>
      <c r="L15" s="9" t="str">
        <f>"138,6297"</f>
        <v>138,6297</v>
      </c>
      <c r="M15" s="8" t="s">
        <v>99</v>
      </c>
    </row>
    <row r="16" spans="1:13">
      <c r="B16" s="5" t="s">
        <v>8</v>
      </c>
    </row>
    <row r="17" spans="1:13" ht="16">
      <c r="A17" s="50" t="s">
        <v>69</v>
      </c>
      <c r="B17" s="50"/>
      <c r="C17" s="51"/>
      <c r="D17" s="51"/>
      <c r="E17" s="51"/>
      <c r="F17" s="51"/>
      <c r="G17" s="51"/>
      <c r="H17" s="51"/>
      <c r="I17" s="51"/>
      <c r="J17" s="51"/>
    </row>
    <row r="18" spans="1:13">
      <c r="A18" s="9" t="s">
        <v>68</v>
      </c>
      <c r="B18" s="8" t="s">
        <v>115</v>
      </c>
      <c r="C18" s="8" t="s">
        <v>116</v>
      </c>
      <c r="D18" s="8" t="s">
        <v>117</v>
      </c>
      <c r="E18" s="8" t="s">
        <v>422</v>
      </c>
      <c r="F18" s="8" t="s">
        <v>15</v>
      </c>
      <c r="G18" s="14" t="s">
        <v>88</v>
      </c>
      <c r="H18" s="14" t="s">
        <v>16</v>
      </c>
      <c r="I18" s="15" t="s">
        <v>114</v>
      </c>
      <c r="J18" s="9"/>
      <c r="K18" s="9" t="str">
        <f>"105,0"</f>
        <v>105,0</v>
      </c>
      <c r="L18" s="9" t="str">
        <f>"137,6511"</f>
        <v>137,6511</v>
      </c>
      <c r="M18" s="8" t="s">
        <v>99</v>
      </c>
    </row>
    <row r="19" spans="1:13">
      <c r="B19" s="5" t="s">
        <v>8</v>
      </c>
    </row>
    <row r="20" spans="1:13" ht="16">
      <c r="A20" s="50" t="s">
        <v>36</v>
      </c>
      <c r="B20" s="50"/>
      <c r="C20" s="51"/>
      <c r="D20" s="51"/>
      <c r="E20" s="51"/>
      <c r="F20" s="51"/>
      <c r="G20" s="51"/>
      <c r="H20" s="51"/>
      <c r="I20" s="51"/>
      <c r="J20" s="51"/>
    </row>
    <row r="21" spans="1:13">
      <c r="A21" s="17" t="s">
        <v>68</v>
      </c>
      <c r="B21" s="16" t="s">
        <v>118</v>
      </c>
      <c r="C21" s="16" t="s">
        <v>119</v>
      </c>
      <c r="D21" s="16" t="s">
        <v>120</v>
      </c>
      <c r="E21" s="16" t="s">
        <v>416</v>
      </c>
      <c r="F21" s="16" t="s">
        <v>121</v>
      </c>
      <c r="G21" s="22" t="s">
        <v>122</v>
      </c>
      <c r="H21" s="22" t="s">
        <v>55</v>
      </c>
      <c r="I21" s="23" t="s">
        <v>123</v>
      </c>
      <c r="J21" s="17"/>
      <c r="K21" s="17" t="str">
        <f>"150,0"</f>
        <v>150,0</v>
      </c>
      <c r="L21" s="17" t="str">
        <f>"157,9200"</f>
        <v>157,9200</v>
      </c>
      <c r="M21" s="16" t="s">
        <v>124</v>
      </c>
    </row>
    <row r="22" spans="1:13">
      <c r="A22" s="19" t="s">
        <v>68</v>
      </c>
      <c r="B22" s="18" t="s">
        <v>125</v>
      </c>
      <c r="C22" s="18" t="s">
        <v>126</v>
      </c>
      <c r="D22" s="18" t="s">
        <v>127</v>
      </c>
      <c r="E22" s="18" t="s">
        <v>420</v>
      </c>
      <c r="F22" s="18" t="s">
        <v>15</v>
      </c>
      <c r="G22" s="24" t="s">
        <v>16</v>
      </c>
      <c r="H22" s="24" t="s">
        <v>114</v>
      </c>
      <c r="I22" s="24" t="s">
        <v>32</v>
      </c>
      <c r="J22" s="19"/>
      <c r="K22" s="19" t="str">
        <f>"115,0"</f>
        <v>115,0</v>
      </c>
      <c r="L22" s="19" t="str">
        <f>"177,5232"</f>
        <v>177,5232</v>
      </c>
      <c r="M22" s="18" t="s">
        <v>99</v>
      </c>
    </row>
    <row r="23" spans="1:13">
      <c r="B23" s="5" t="s">
        <v>8</v>
      </c>
    </row>
    <row r="24" spans="1:13" ht="16">
      <c r="A24" s="50" t="s">
        <v>128</v>
      </c>
      <c r="B24" s="50"/>
      <c r="C24" s="51"/>
      <c r="D24" s="51"/>
      <c r="E24" s="51"/>
      <c r="F24" s="51"/>
      <c r="G24" s="51"/>
      <c r="H24" s="51"/>
      <c r="I24" s="51"/>
      <c r="J24" s="51"/>
    </row>
    <row r="25" spans="1:13">
      <c r="A25" s="17" t="s">
        <v>68</v>
      </c>
      <c r="B25" s="16" t="s">
        <v>129</v>
      </c>
      <c r="C25" s="16" t="s">
        <v>130</v>
      </c>
      <c r="D25" s="16" t="s">
        <v>131</v>
      </c>
      <c r="E25" s="16" t="s">
        <v>416</v>
      </c>
      <c r="F25" s="16" t="s">
        <v>121</v>
      </c>
      <c r="G25" s="22" t="s">
        <v>89</v>
      </c>
      <c r="H25" s="23" t="s">
        <v>132</v>
      </c>
      <c r="I25" s="23" t="s">
        <v>132</v>
      </c>
      <c r="J25" s="17"/>
      <c r="K25" s="17" t="str">
        <f>"215,0"</f>
        <v>215,0</v>
      </c>
      <c r="L25" s="17" t="str">
        <f>"219,7300"</f>
        <v>219,7300</v>
      </c>
      <c r="M25" s="16"/>
    </row>
    <row r="26" spans="1:13">
      <c r="A26" s="21" t="s">
        <v>173</v>
      </c>
      <c r="B26" s="20" t="s">
        <v>133</v>
      </c>
      <c r="C26" s="20" t="s">
        <v>134</v>
      </c>
      <c r="D26" s="20" t="s">
        <v>135</v>
      </c>
      <c r="E26" s="20" t="s">
        <v>416</v>
      </c>
      <c r="F26" s="20" t="s">
        <v>136</v>
      </c>
      <c r="G26" s="25" t="s">
        <v>137</v>
      </c>
      <c r="H26" s="25" t="s">
        <v>138</v>
      </c>
      <c r="I26" s="25" t="s">
        <v>54</v>
      </c>
      <c r="J26" s="21"/>
      <c r="K26" s="21" t="str">
        <f>"205,0"</f>
        <v>205,0</v>
      </c>
      <c r="L26" s="21" t="str">
        <f>"202,4990"</f>
        <v>202,4990</v>
      </c>
      <c r="M26" s="20"/>
    </row>
    <row r="27" spans="1:13">
      <c r="A27" s="21" t="s">
        <v>174</v>
      </c>
      <c r="B27" s="20" t="s">
        <v>139</v>
      </c>
      <c r="C27" s="20" t="s">
        <v>140</v>
      </c>
      <c r="D27" s="20" t="s">
        <v>141</v>
      </c>
      <c r="E27" s="20" t="s">
        <v>416</v>
      </c>
      <c r="F27" s="20" t="s">
        <v>15</v>
      </c>
      <c r="G27" s="25" t="s">
        <v>56</v>
      </c>
      <c r="H27" s="25" t="s">
        <v>76</v>
      </c>
      <c r="I27" s="26" t="s">
        <v>57</v>
      </c>
      <c r="J27" s="21"/>
      <c r="K27" s="21" t="str">
        <f>"170,0"</f>
        <v>170,0</v>
      </c>
      <c r="L27" s="21" t="str">
        <f>"168,4360"</f>
        <v>168,4360</v>
      </c>
      <c r="M27" s="20" t="s">
        <v>142</v>
      </c>
    </row>
    <row r="28" spans="1:13">
      <c r="A28" s="19" t="s">
        <v>175</v>
      </c>
      <c r="B28" s="18" t="s">
        <v>143</v>
      </c>
      <c r="C28" s="18" t="s">
        <v>144</v>
      </c>
      <c r="D28" s="18" t="s">
        <v>145</v>
      </c>
      <c r="E28" s="18" t="s">
        <v>416</v>
      </c>
      <c r="F28" s="18" t="s">
        <v>136</v>
      </c>
      <c r="G28" s="24" t="s">
        <v>146</v>
      </c>
      <c r="H28" s="24" t="s">
        <v>56</v>
      </c>
      <c r="I28" s="27" t="s">
        <v>76</v>
      </c>
      <c r="J28" s="19"/>
      <c r="K28" s="19" t="str">
        <f>"165,0"</f>
        <v>165,0</v>
      </c>
      <c r="L28" s="19" t="str">
        <f>"161,3700"</f>
        <v>161,3700</v>
      </c>
      <c r="M28" s="18" t="s">
        <v>147</v>
      </c>
    </row>
    <row r="29" spans="1:13">
      <c r="B29" s="5" t="s">
        <v>8</v>
      </c>
    </row>
    <row r="30" spans="1:13" ht="16">
      <c r="A30" s="50" t="s">
        <v>85</v>
      </c>
      <c r="B30" s="50"/>
      <c r="C30" s="51"/>
      <c r="D30" s="51"/>
      <c r="E30" s="51"/>
      <c r="F30" s="51"/>
      <c r="G30" s="51"/>
      <c r="H30" s="51"/>
      <c r="I30" s="51"/>
      <c r="J30" s="51"/>
    </row>
    <row r="31" spans="1:13">
      <c r="A31" s="17" t="s">
        <v>68</v>
      </c>
      <c r="B31" s="16" t="s">
        <v>148</v>
      </c>
      <c r="C31" s="16" t="s">
        <v>149</v>
      </c>
      <c r="D31" s="16" t="s">
        <v>150</v>
      </c>
      <c r="E31" s="16" t="s">
        <v>416</v>
      </c>
      <c r="F31" s="16" t="s">
        <v>121</v>
      </c>
      <c r="G31" s="23" t="s">
        <v>137</v>
      </c>
      <c r="H31" s="22" t="s">
        <v>54</v>
      </c>
      <c r="I31" s="23" t="s">
        <v>45</v>
      </c>
      <c r="J31" s="17"/>
      <c r="K31" s="17" t="str">
        <f>"205,0"</f>
        <v>205,0</v>
      </c>
      <c r="L31" s="17" t="str">
        <f>"189,2150"</f>
        <v>189,2150</v>
      </c>
      <c r="M31" s="16"/>
    </row>
    <row r="32" spans="1:13">
      <c r="A32" s="21" t="s">
        <v>173</v>
      </c>
      <c r="B32" s="20" t="s">
        <v>151</v>
      </c>
      <c r="C32" s="20" t="s">
        <v>152</v>
      </c>
      <c r="D32" s="20" t="s">
        <v>153</v>
      </c>
      <c r="E32" s="20" t="s">
        <v>416</v>
      </c>
      <c r="F32" s="20" t="s">
        <v>15</v>
      </c>
      <c r="G32" s="25" t="s">
        <v>40</v>
      </c>
      <c r="H32" s="25" t="s">
        <v>154</v>
      </c>
      <c r="I32" s="25" t="s">
        <v>137</v>
      </c>
      <c r="J32" s="21"/>
      <c r="K32" s="21" t="str">
        <f>"195,0"</f>
        <v>195,0</v>
      </c>
      <c r="L32" s="21" t="str">
        <f>"180,2970"</f>
        <v>180,2970</v>
      </c>
      <c r="M32" s="20"/>
    </row>
    <row r="33" spans="1:13">
      <c r="A33" s="21" t="s">
        <v>68</v>
      </c>
      <c r="B33" s="20" t="s">
        <v>155</v>
      </c>
      <c r="C33" s="20" t="s">
        <v>156</v>
      </c>
      <c r="D33" s="20" t="s">
        <v>157</v>
      </c>
      <c r="E33" s="20" t="s">
        <v>420</v>
      </c>
      <c r="F33" s="20" t="s">
        <v>15</v>
      </c>
      <c r="G33" s="25" t="s">
        <v>32</v>
      </c>
      <c r="H33" s="25" t="s">
        <v>18</v>
      </c>
      <c r="I33" s="26" t="s">
        <v>33</v>
      </c>
      <c r="J33" s="21"/>
      <c r="K33" s="21" t="str">
        <f>"120,0"</f>
        <v>120,0</v>
      </c>
      <c r="L33" s="21" t="str">
        <f>"182,9779"</f>
        <v>182,9779</v>
      </c>
      <c r="M33" s="20"/>
    </row>
    <row r="34" spans="1:13">
      <c r="A34" s="19" t="s">
        <v>68</v>
      </c>
      <c r="B34" s="18" t="s">
        <v>158</v>
      </c>
      <c r="C34" s="18" t="s">
        <v>159</v>
      </c>
      <c r="D34" s="18" t="s">
        <v>87</v>
      </c>
      <c r="E34" s="18" t="s">
        <v>423</v>
      </c>
      <c r="F34" s="18" t="s">
        <v>15</v>
      </c>
      <c r="G34" s="24" t="s">
        <v>75</v>
      </c>
      <c r="H34" s="24" t="s">
        <v>26</v>
      </c>
      <c r="I34" s="27" t="s">
        <v>160</v>
      </c>
      <c r="J34" s="19"/>
      <c r="K34" s="19" t="str">
        <f>"85,0"</f>
        <v>85,0</v>
      </c>
      <c r="L34" s="19" t="str">
        <f>"154,8462"</f>
        <v>154,8462</v>
      </c>
      <c r="M34" s="18"/>
    </row>
    <row r="35" spans="1:13">
      <c r="B35" s="5" t="s">
        <v>8</v>
      </c>
    </row>
    <row r="36" spans="1:13" ht="16">
      <c r="A36" s="50" t="s">
        <v>49</v>
      </c>
      <c r="B36" s="50"/>
      <c r="C36" s="51"/>
      <c r="D36" s="51"/>
      <c r="E36" s="51"/>
      <c r="F36" s="51"/>
      <c r="G36" s="51"/>
      <c r="H36" s="51"/>
      <c r="I36" s="51"/>
      <c r="J36" s="51"/>
    </row>
    <row r="37" spans="1:13">
      <c r="A37" s="9" t="s">
        <v>68</v>
      </c>
      <c r="B37" s="8" t="s">
        <v>161</v>
      </c>
      <c r="C37" s="8" t="s">
        <v>162</v>
      </c>
      <c r="D37" s="8" t="s">
        <v>163</v>
      </c>
      <c r="E37" s="8" t="s">
        <v>418</v>
      </c>
      <c r="F37" s="8" t="s">
        <v>164</v>
      </c>
      <c r="G37" s="14" t="s">
        <v>76</v>
      </c>
      <c r="H37" s="14" t="s">
        <v>57</v>
      </c>
      <c r="I37" s="15" t="s">
        <v>165</v>
      </c>
      <c r="J37" s="9"/>
      <c r="K37" s="9" t="str">
        <f>"175,0"</f>
        <v>175,0</v>
      </c>
      <c r="L37" s="9" t="str">
        <f>"169,3615"</f>
        <v>169,3615</v>
      </c>
      <c r="M37" s="8" t="s">
        <v>166</v>
      </c>
    </row>
    <row r="38" spans="1:13">
      <c r="B38" s="5" t="s">
        <v>8</v>
      </c>
    </row>
    <row r="39" spans="1:13">
      <c r="B39" s="5" t="s">
        <v>8</v>
      </c>
    </row>
    <row r="40" spans="1:13">
      <c r="B40" s="5" t="s">
        <v>8</v>
      </c>
    </row>
    <row r="41" spans="1:13" ht="18">
      <c r="B41" s="7" t="s">
        <v>7</v>
      </c>
      <c r="C41" s="7"/>
    </row>
    <row r="42" spans="1:13" ht="16">
      <c r="B42" s="10" t="s">
        <v>61</v>
      </c>
      <c r="C42" s="10"/>
    </row>
    <row r="43" spans="1:13" ht="14">
      <c r="B43" s="11"/>
      <c r="C43" s="12" t="s">
        <v>66</v>
      </c>
    </row>
    <row r="44" spans="1:13" ht="14">
      <c r="B44" s="13" t="s">
        <v>62</v>
      </c>
      <c r="C44" s="13" t="s">
        <v>63</v>
      </c>
      <c r="D44" s="13" t="s">
        <v>410</v>
      </c>
      <c r="E44" s="13" t="s">
        <v>167</v>
      </c>
      <c r="F44" s="13" t="s">
        <v>64</v>
      </c>
    </row>
    <row r="45" spans="1:13">
      <c r="B45" s="5" t="s">
        <v>129</v>
      </c>
      <c r="C45" s="5" t="s">
        <v>66</v>
      </c>
      <c r="D45" s="6" t="s">
        <v>168</v>
      </c>
      <c r="E45" s="6" t="s">
        <v>89</v>
      </c>
      <c r="F45" s="6" t="s">
        <v>169</v>
      </c>
    </row>
    <row r="46" spans="1:13">
      <c r="B46" s="5" t="s">
        <v>133</v>
      </c>
      <c r="C46" s="5" t="s">
        <v>66</v>
      </c>
      <c r="D46" s="6" t="s">
        <v>168</v>
      </c>
      <c r="E46" s="6" t="s">
        <v>54</v>
      </c>
      <c r="F46" s="6" t="s">
        <v>170</v>
      </c>
    </row>
    <row r="47" spans="1:13">
      <c r="B47" s="5" t="s">
        <v>148</v>
      </c>
      <c r="C47" s="5" t="s">
        <v>66</v>
      </c>
      <c r="D47" s="6" t="s">
        <v>91</v>
      </c>
      <c r="E47" s="6" t="s">
        <v>54</v>
      </c>
      <c r="F47" s="6" t="s">
        <v>171</v>
      </c>
    </row>
  </sheetData>
  <mergeCells count="20">
    <mergeCell ref="A30:J30"/>
    <mergeCell ref="A36:J36"/>
    <mergeCell ref="B3:B4"/>
    <mergeCell ref="A8:J8"/>
    <mergeCell ref="A11:J11"/>
    <mergeCell ref="A14:J14"/>
    <mergeCell ref="A17:J17"/>
    <mergeCell ref="A20:J20"/>
    <mergeCell ref="A24:J2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M33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7" style="5" bestFit="1" customWidth="1"/>
    <col min="3" max="3" width="29" style="5" bestFit="1" customWidth="1"/>
    <col min="4" max="4" width="20.83203125" style="5" bestFit="1" customWidth="1"/>
    <col min="5" max="5" width="10.1640625" style="5" bestFit="1" customWidth="1"/>
    <col min="6" max="6" width="24.1640625" style="5" bestFit="1" customWidth="1"/>
    <col min="7" max="9" width="5.5" style="6" customWidth="1"/>
    <col min="10" max="10" width="4.5" style="6" customWidth="1"/>
    <col min="11" max="11" width="10.5" style="29" bestFit="1" customWidth="1"/>
    <col min="12" max="12" width="8.5" style="6" bestFit="1" customWidth="1"/>
    <col min="13" max="13" width="20" style="5" customWidth="1"/>
    <col min="14" max="16384" width="9.1640625" style="3"/>
  </cols>
  <sheetData>
    <row r="1" spans="1:13" s="2" customFormat="1" ht="29" customHeight="1">
      <c r="A1" s="39" t="s">
        <v>402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411</v>
      </c>
      <c r="B3" s="52" t="s">
        <v>0</v>
      </c>
      <c r="C3" s="49" t="s">
        <v>414</v>
      </c>
      <c r="D3" s="49" t="s">
        <v>6</v>
      </c>
      <c r="E3" s="33" t="s">
        <v>415</v>
      </c>
      <c r="F3" s="33" t="s">
        <v>5</v>
      </c>
      <c r="G3" s="33" t="s">
        <v>10</v>
      </c>
      <c r="H3" s="33"/>
      <c r="I3" s="33"/>
      <c r="J3" s="33"/>
      <c r="K3" s="54" t="s">
        <v>172</v>
      </c>
      <c r="L3" s="33" t="s">
        <v>3</v>
      </c>
      <c r="M3" s="35" t="s">
        <v>2</v>
      </c>
    </row>
    <row r="4" spans="1:13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55"/>
      <c r="L4" s="34"/>
      <c r="M4" s="36"/>
    </row>
    <row r="5" spans="1:13" ht="16">
      <c r="A5" s="37" t="s">
        <v>183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9" t="s">
        <v>68</v>
      </c>
      <c r="B6" s="8" t="s">
        <v>320</v>
      </c>
      <c r="C6" s="8" t="s">
        <v>391</v>
      </c>
      <c r="D6" s="8" t="s">
        <v>321</v>
      </c>
      <c r="E6" s="8" t="s">
        <v>421</v>
      </c>
      <c r="F6" s="8" t="s">
        <v>164</v>
      </c>
      <c r="G6" s="15" t="s">
        <v>322</v>
      </c>
      <c r="H6" s="14" t="s">
        <v>322</v>
      </c>
      <c r="I6" s="15" t="s">
        <v>75</v>
      </c>
      <c r="J6" s="9"/>
      <c r="K6" s="28" t="str">
        <f>"70,0"</f>
        <v>70,0</v>
      </c>
      <c r="L6" s="9" t="str">
        <f>"77,5320"</f>
        <v>77,5320</v>
      </c>
      <c r="M6" s="8" t="s">
        <v>166</v>
      </c>
    </row>
    <row r="7" spans="1:13">
      <c r="B7" s="5" t="s">
        <v>8</v>
      </c>
    </row>
    <row r="8" spans="1:13" ht="16">
      <c r="A8" s="50" t="s">
        <v>12</v>
      </c>
      <c r="B8" s="50"/>
      <c r="C8" s="51"/>
      <c r="D8" s="51"/>
      <c r="E8" s="51"/>
      <c r="F8" s="51"/>
      <c r="G8" s="51"/>
      <c r="H8" s="51"/>
      <c r="I8" s="51"/>
      <c r="J8" s="51"/>
    </row>
    <row r="9" spans="1:13">
      <c r="A9" s="9" t="s">
        <v>84</v>
      </c>
      <c r="B9" s="8" t="s">
        <v>323</v>
      </c>
      <c r="C9" s="8" t="s">
        <v>324</v>
      </c>
      <c r="D9" s="8" t="s">
        <v>325</v>
      </c>
      <c r="E9" s="8" t="s">
        <v>416</v>
      </c>
      <c r="F9" s="8" t="s">
        <v>326</v>
      </c>
      <c r="G9" s="15" t="s">
        <v>43</v>
      </c>
      <c r="H9" s="15" t="s">
        <v>302</v>
      </c>
      <c r="I9" s="15" t="s">
        <v>302</v>
      </c>
      <c r="J9" s="9"/>
      <c r="K9" s="28">
        <v>0</v>
      </c>
      <c r="L9" s="9" t="str">
        <f>"0,0000"</f>
        <v>0,0000</v>
      </c>
      <c r="M9" s="8" t="s">
        <v>166</v>
      </c>
    </row>
    <row r="10" spans="1:13">
      <c r="B10" s="5" t="s">
        <v>8</v>
      </c>
    </row>
    <row r="11" spans="1:13" ht="16">
      <c r="A11" s="50" t="s">
        <v>69</v>
      </c>
      <c r="B11" s="50"/>
      <c r="C11" s="51"/>
      <c r="D11" s="51"/>
      <c r="E11" s="51"/>
      <c r="F11" s="51"/>
      <c r="G11" s="51"/>
      <c r="H11" s="51"/>
      <c r="I11" s="51"/>
      <c r="J11" s="51"/>
    </row>
    <row r="12" spans="1:13">
      <c r="A12" s="9" t="s">
        <v>68</v>
      </c>
      <c r="B12" s="8" t="s">
        <v>327</v>
      </c>
      <c r="C12" s="8" t="s">
        <v>328</v>
      </c>
      <c r="D12" s="8" t="s">
        <v>329</v>
      </c>
      <c r="E12" s="8" t="s">
        <v>416</v>
      </c>
      <c r="F12" s="8" t="s">
        <v>73</v>
      </c>
      <c r="G12" s="14" t="s">
        <v>214</v>
      </c>
      <c r="H12" s="14" t="s">
        <v>330</v>
      </c>
      <c r="I12" s="15" t="s">
        <v>76</v>
      </c>
      <c r="J12" s="9"/>
      <c r="K12" s="28" t="str">
        <f>"162,5"</f>
        <v>162,5</v>
      </c>
      <c r="L12" s="9" t="str">
        <f>"114,1197"</f>
        <v>114,1197</v>
      </c>
      <c r="M12" s="8"/>
    </row>
    <row r="13" spans="1:13">
      <c r="B13" s="5" t="s">
        <v>8</v>
      </c>
    </row>
    <row r="14" spans="1:13" ht="16">
      <c r="A14" s="50" t="s">
        <v>36</v>
      </c>
      <c r="B14" s="50"/>
      <c r="C14" s="51"/>
      <c r="D14" s="51"/>
      <c r="E14" s="51"/>
      <c r="F14" s="51"/>
      <c r="G14" s="51"/>
      <c r="H14" s="51"/>
      <c r="I14" s="51"/>
      <c r="J14" s="51"/>
    </row>
    <row r="15" spans="1:13">
      <c r="A15" s="9" t="s">
        <v>68</v>
      </c>
      <c r="B15" s="8" t="s">
        <v>331</v>
      </c>
      <c r="C15" s="8" t="s">
        <v>332</v>
      </c>
      <c r="D15" s="8" t="s">
        <v>333</v>
      </c>
      <c r="E15" s="8" t="s">
        <v>416</v>
      </c>
      <c r="F15" s="8" t="s">
        <v>15</v>
      </c>
      <c r="G15" s="14" t="s">
        <v>122</v>
      </c>
      <c r="H15" s="15" t="s">
        <v>123</v>
      </c>
      <c r="I15" s="14" t="s">
        <v>123</v>
      </c>
      <c r="J15" s="9"/>
      <c r="K15" s="28" t="str">
        <f>"152,5"</f>
        <v>152,5</v>
      </c>
      <c r="L15" s="9" t="str">
        <f>"98,9687"</f>
        <v>98,9687</v>
      </c>
      <c r="M15" s="8" t="s">
        <v>99</v>
      </c>
    </row>
    <row r="16" spans="1:13">
      <c r="B16" s="5" t="s">
        <v>8</v>
      </c>
    </row>
    <row r="17" spans="1:13" ht="16">
      <c r="A17" s="50" t="s">
        <v>128</v>
      </c>
      <c r="B17" s="50"/>
      <c r="C17" s="51"/>
      <c r="D17" s="51"/>
      <c r="E17" s="51"/>
      <c r="F17" s="51"/>
      <c r="G17" s="51"/>
      <c r="H17" s="51"/>
      <c r="I17" s="51"/>
      <c r="J17" s="51"/>
    </row>
    <row r="18" spans="1:13">
      <c r="A18" s="9" t="s">
        <v>84</v>
      </c>
      <c r="B18" s="8" t="s">
        <v>334</v>
      </c>
      <c r="C18" s="8" t="s">
        <v>392</v>
      </c>
      <c r="D18" s="8" t="s">
        <v>335</v>
      </c>
      <c r="E18" s="8" t="s">
        <v>421</v>
      </c>
      <c r="F18" s="8" t="s">
        <v>164</v>
      </c>
      <c r="G18" s="15" t="s">
        <v>40</v>
      </c>
      <c r="H18" s="15" t="s">
        <v>40</v>
      </c>
      <c r="I18" s="15" t="s">
        <v>53</v>
      </c>
      <c r="J18" s="9"/>
      <c r="K18" s="28">
        <v>0</v>
      </c>
      <c r="L18" s="9" t="str">
        <f>"0,0000"</f>
        <v>0,0000</v>
      </c>
      <c r="M18" s="8" t="s">
        <v>166</v>
      </c>
    </row>
    <row r="19" spans="1:13">
      <c r="B19" s="5" t="s">
        <v>8</v>
      </c>
    </row>
    <row r="20" spans="1:13" ht="16">
      <c r="A20" s="50" t="s">
        <v>85</v>
      </c>
      <c r="B20" s="50"/>
      <c r="C20" s="51"/>
      <c r="D20" s="51"/>
      <c r="E20" s="51"/>
      <c r="F20" s="51"/>
      <c r="G20" s="51"/>
      <c r="H20" s="51"/>
      <c r="I20" s="51"/>
      <c r="J20" s="51"/>
    </row>
    <row r="21" spans="1:13">
      <c r="A21" s="17" t="s">
        <v>68</v>
      </c>
      <c r="B21" s="16" t="s">
        <v>336</v>
      </c>
      <c r="C21" s="16" t="s">
        <v>337</v>
      </c>
      <c r="D21" s="16" t="s">
        <v>338</v>
      </c>
      <c r="E21" s="16" t="s">
        <v>416</v>
      </c>
      <c r="F21" s="16" t="s">
        <v>73</v>
      </c>
      <c r="G21" s="22" t="s">
        <v>59</v>
      </c>
      <c r="H21" s="22" t="s">
        <v>339</v>
      </c>
      <c r="I21" s="23" t="s">
        <v>315</v>
      </c>
      <c r="J21" s="17"/>
      <c r="K21" s="30" t="str">
        <f>"267,5"</f>
        <v>267,5</v>
      </c>
      <c r="L21" s="17" t="str">
        <f>"157,6244"</f>
        <v>157,6244</v>
      </c>
      <c r="M21" s="16" t="s">
        <v>340</v>
      </c>
    </row>
    <row r="22" spans="1:13">
      <c r="A22" s="21" t="s">
        <v>173</v>
      </c>
      <c r="B22" s="20" t="s">
        <v>341</v>
      </c>
      <c r="C22" s="20" t="s">
        <v>342</v>
      </c>
      <c r="D22" s="20" t="s">
        <v>343</v>
      </c>
      <c r="E22" s="20" t="s">
        <v>416</v>
      </c>
      <c r="F22" s="20" t="s">
        <v>73</v>
      </c>
      <c r="G22" s="25" t="s">
        <v>54</v>
      </c>
      <c r="H22" s="26" t="s">
        <v>89</v>
      </c>
      <c r="I22" s="26" t="s">
        <v>89</v>
      </c>
      <c r="J22" s="21"/>
      <c r="K22" s="31" t="str">
        <f>"205,0"</f>
        <v>205,0</v>
      </c>
      <c r="L22" s="21" t="str">
        <f>"121,5035"</f>
        <v>121,5035</v>
      </c>
      <c r="M22" s="20"/>
    </row>
    <row r="23" spans="1:13">
      <c r="A23" s="19" t="s">
        <v>174</v>
      </c>
      <c r="B23" s="18" t="s">
        <v>344</v>
      </c>
      <c r="C23" s="18" t="s">
        <v>345</v>
      </c>
      <c r="D23" s="18" t="s">
        <v>346</v>
      </c>
      <c r="E23" s="18" t="s">
        <v>416</v>
      </c>
      <c r="F23" s="18" t="s">
        <v>164</v>
      </c>
      <c r="G23" s="24" t="s">
        <v>42</v>
      </c>
      <c r="H23" s="27" t="s">
        <v>45</v>
      </c>
      <c r="I23" s="27" t="s">
        <v>45</v>
      </c>
      <c r="J23" s="19"/>
      <c r="K23" s="32" t="str">
        <f>"200,0"</f>
        <v>200,0</v>
      </c>
      <c r="L23" s="19" t="str">
        <f>"116,8600"</f>
        <v>116,8600</v>
      </c>
      <c r="M23" s="18" t="s">
        <v>166</v>
      </c>
    </row>
    <row r="24" spans="1:13">
      <c r="B24" s="5" t="s">
        <v>8</v>
      </c>
    </row>
    <row r="25" spans="1:13">
      <c r="B25" s="5" t="s">
        <v>8</v>
      </c>
    </row>
    <row r="26" spans="1:13">
      <c r="B26" s="5" t="s">
        <v>8</v>
      </c>
    </row>
    <row r="27" spans="1:13" ht="18">
      <c r="B27" s="7" t="s">
        <v>7</v>
      </c>
      <c r="C27" s="7"/>
    </row>
    <row r="28" spans="1:13" ht="16">
      <c r="B28" s="10" t="s">
        <v>61</v>
      </c>
      <c r="C28" s="10"/>
    </row>
    <row r="29" spans="1:13" ht="14">
      <c r="B29" s="11"/>
      <c r="C29" s="12" t="s">
        <v>66</v>
      </c>
    </row>
    <row r="30" spans="1:13" ht="14">
      <c r="B30" s="13" t="s">
        <v>62</v>
      </c>
      <c r="C30" s="13" t="s">
        <v>63</v>
      </c>
      <c r="D30" s="13" t="s">
        <v>410</v>
      </c>
      <c r="E30" s="13" t="s">
        <v>167</v>
      </c>
      <c r="F30" s="13" t="s">
        <v>319</v>
      </c>
    </row>
    <row r="31" spans="1:13">
      <c r="B31" s="5" t="s">
        <v>336</v>
      </c>
      <c r="C31" s="5" t="s">
        <v>66</v>
      </c>
      <c r="D31" s="6" t="s">
        <v>91</v>
      </c>
      <c r="E31" s="6" t="s">
        <v>339</v>
      </c>
      <c r="F31" s="6" t="s">
        <v>347</v>
      </c>
    </row>
    <row r="32" spans="1:13">
      <c r="B32" s="5" t="s">
        <v>341</v>
      </c>
      <c r="C32" s="5" t="s">
        <v>66</v>
      </c>
      <c r="D32" s="6" t="s">
        <v>91</v>
      </c>
      <c r="E32" s="6" t="s">
        <v>54</v>
      </c>
      <c r="F32" s="6" t="s">
        <v>348</v>
      </c>
    </row>
    <row r="33" spans="2:6">
      <c r="B33" s="5" t="s">
        <v>344</v>
      </c>
      <c r="C33" s="5" t="s">
        <v>66</v>
      </c>
      <c r="D33" s="6" t="s">
        <v>91</v>
      </c>
      <c r="E33" s="6" t="s">
        <v>42</v>
      </c>
      <c r="F33" s="6" t="s">
        <v>349</v>
      </c>
    </row>
  </sheetData>
  <mergeCells count="17">
    <mergeCell ref="A20:J20"/>
    <mergeCell ref="A5:J5"/>
    <mergeCell ref="A8:J8"/>
    <mergeCell ref="A11:J11"/>
    <mergeCell ref="A14:J14"/>
    <mergeCell ref="A17:J17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6"/>
  <dimension ref="A1:M15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2.1640625" style="5" bestFit="1" customWidth="1"/>
    <col min="3" max="3" width="27.6640625" style="5" bestFit="1" customWidth="1"/>
    <col min="4" max="4" width="20.83203125" style="5" bestFit="1" customWidth="1"/>
    <col min="5" max="5" width="10.1640625" style="5" bestFit="1" customWidth="1"/>
    <col min="6" max="6" width="25.83203125" style="5" customWidth="1"/>
    <col min="7" max="9" width="5.5" style="6" customWidth="1"/>
    <col min="10" max="10" width="4.5" style="6" customWidth="1"/>
    <col min="11" max="11" width="10.5" style="29" bestFit="1" customWidth="1"/>
    <col min="12" max="12" width="8.5" style="6" bestFit="1" customWidth="1"/>
    <col min="13" max="13" width="21.33203125" style="5" customWidth="1"/>
    <col min="14" max="16384" width="9.1640625" style="3"/>
  </cols>
  <sheetData>
    <row r="1" spans="1:13" s="2" customFormat="1" ht="29" customHeight="1">
      <c r="A1" s="39" t="s">
        <v>403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411</v>
      </c>
      <c r="B3" s="52" t="s">
        <v>0</v>
      </c>
      <c r="C3" s="49" t="s">
        <v>414</v>
      </c>
      <c r="D3" s="49" t="s">
        <v>6</v>
      </c>
      <c r="E3" s="33" t="s">
        <v>415</v>
      </c>
      <c r="F3" s="33" t="s">
        <v>5</v>
      </c>
      <c r="G3" s="33" t="s">
        <v>10</v>
      </c>
      <c r="H3" s="33"/>
      <c r="I3" s="33"/>
      <c r="J3" s="33"/>
      <c r="K3" s="54" t="s">
        <v>172</v>
      </c>
      <c r="L3" s="33" t="s">
        <v>3</v>
      </c>
      <c r="M3" s="35" t="s">
        <v>2</v>
      </c>
    </row>
    <row r="4" spans="1:13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55"/>
      <c r="L4" s="34"/>
      <c r="M4" s="36"/>
    </row>
    <row r="5" spans="1:13" ht="16">
      <c r="A5" s="37" t="s">
        <v>23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9" t="s">
        <v>68</v>
      </c>
      <c r="B6" s="8" t="s">
        <v>300</v>
      </c>
      <c r="C6" s="8" t="s">
        <v>393</v>
      </c>
      <c r="D6" s="8" t="s">
        <v>301</v>
      </c>
      <c r="E6" s="8" t="s">
        <v>421</v>
      </c>
      <c r="F6" s="8" t="s">
        <v>164</v>
      </c>
      <c r="G6" s="15" t="s">
        <v>21</v>
      </c>
      <c r="H6" s="15" t="s">
        <v>302</v>
      </c>
      <c r="I6" s="14" t="s">
        <v>302</v>
      </c>
      <c r="J6" s="9"/>
      <c r="K6" s="28" t="str">
        <f>"140,0"</f>
        <v>140,0</v>
      </c>
      <c r="L6" s="9" t="str">
        <f>"106,5330"</f>
        <v>106,5330</v>
      </c>
      <c r="M6" s="8" t="s">
        <v>303</v>
      </c>
    </row>
    <row r="7" spans="1:13">
      <c r="B7" s="5" t="s">
        <v>8</v>
      </c>
    </row>
    <row r="8" spans="1:13" ht="16">
      <c r="A8" s="50" t="s">
        <v>36</v>
      </c>
      <c r="B8" s="50"/>
      <c r="C8" s="51"/>
      <c r="D8" s="51"/>
      <c r="E8" s="51"/>
      <c r="F8" s="51"/>
      <c r="G8" s="51"/>
      <c r="H8" s="51"/>
      <c r="I8" s="51"/>
      <c r="J8" s="51"/>
    </row>
    <row r="9" spans="1:13">
      <c r="A9" s="9" t="s">
        <v>84</v>
      </c>
      <c r="B9" s="8" t="s">
        <v>304</v>
      </c>
      <c r="C9" s="8" t="s">
        <v>305</v>
      </c>
      <c r="D9" s="8" t="s">
        <v>306</v>
      </c>
      <c r="E9" s="8" t="s">
        <v>416</v>
      </c>
      <c r="F9" s="8" t="s">
        <v>15</v>
      </c>
      <c r="G9" s="15" t="s">
        <v>40</v>
      </c>
      <c r="H9" s="15" t="s">
        <v>40</v>
      </c>
      <c r="I9" s="15" t="s">
        <v>40</v>
      </c>
      <c r="J9" s="9"/>
      <c r="K9" s="28">
        <v>0</v>
      </c>
      <c r="L9" s="9" t="str">
        <f>"0,0000"</f>
        <v>0,0000</v>
      </c>
      <c r="M9" s="8"/>
    </row>
    <row r="10" spans="1:13">
      <c r="B10" s="5" t="s">
        <v>8</v>
      </c>
    </row>
    <row r="11" spans="1:13" ht="16">
      <c r="A11" s="50" t="s">
        <v>85</v>
      </c>
      <c r="B11" s="50"/>
      <c r="C11" s="51"/>
      <c r="D11" s="51"/>
      <c r="E11" s="51"/>
      <c r="F11" s="51"/>
      <c r="G11" s="51"/>
      <c r="H11" s="51"/>
      <c r="I11" s="51"/>
      <c r="J11" s="51"/>
    </row>
    <row r="12" spans="1:13">
      <c r="A12" s="17" t="s">
        <v>68</v>
      </c>
      <c r="B12" s="16" t="s">
        <v>307</v>
      </c>
      <c r="C12" s="16" t="s">
        <v>308</v>
      </c>
      <c r="D12" s="16" t="s">
        <v>309</v>
      </c>
      <c r="E12" s="16" t="s">
        <v>416</v>
      </c>
      <c r="F12" s="16" t="s">
        <v>15</v>
      </c>
      <c r="G12" s="22" t="s">
        <v>260</v>
      </c>
      <c r="H12" s="22" t="s">
        <v>310</v>
      </c>
      <c r="I12" s="23" t="s">
        <v>261</v>
      </c>
      <c r="J12" s="17"/>
      <c r="K12" s="30" t="str">
        <f>"275,0"</f>
        <v>275,0</v>
      </c>
      <c r="L12" s="17" t="str">
        <f>"163,8587"</f>
        <v>163,8587</v>
      </c>
      <c r="M12" s="16"/>
    </row>
    <row r="13" spans="1:13">
      <c r="A13" s="21" t="s">
        <v>173</v>
      </c>
      <c r="B13" s="20" t="s">
        <v>311</v>
      </c>
      <c r="C13" s="20" t="s">
        <v>312</v>
      </c>
      <c r="D13" s="20" t="s">
        <v>313</v>
      </c>
      <c r="E13" s="20" t="s">
        <v>416</v>
      </c>
      <c r="F13" s="20" t="s">
        <v>164</v>
      </c>
      <c r="G13" s="25" t="s">
        <v>249</v>
      </c>
      <c r="H13" s="25" t="s">
        <v>314</v>
      </c>
      <c r="I13" s="26" t="s">
        <v>315</v>
      </c>
      <c r="J13" s="21"/>
      <c r="K13" s="31" t="str">
        <f>"265,0"</f>
        <v>265,0</v>
      </c>
      <c r="L13" s="21" t="str">
        <f>"154,7070"</f>
        <v>154,7070</v>
      </c>
      <c r="M13" s="20" t="s">
        <v>166</v>
      </c>
    </row>
    <row r="14" spans="1:13">
      <c r="A14" s="19" t="s">
        <v>174</v>
      </c>
      <c r="B14" s="18" t="s">
        <v>316</v>
      </c>
      <c r="C14" s="18" t="s">
        <v>317</v>
      </c>
      <c r="D14" s="18" t="s">
        <v>318</v>
      </c>
      <c r="E14" s="18" t="s">
        <v>416</v>
      </c>
      <c r="F14" s="18" t="s">
        <v>164</v>
      </c>
      <c r="G14" s="24" t="s">
        <v>42</v>
      </c>
      <c r="H14" s="27" t="s">
        <v>45</v>
      </c>
      <c r="I14" s="27" t="s">
        <v>45</v>
      </c>
      <c r="J14" s="19"/>
      <c r="K14" s="32" t="str">
        <f>"200,0"</f>
        <v>200,0</v>
      </c>
      <c r="L14" s="19" t="str">
        <f>"118,6300"</f>
        <v>118,6300</v>
      </c>
      <c r="M14" s="18" t="s">
        <v>166</v>
      </c>
    </row>
    <row r="15" spans="1:13">
      <c r="B15" s="5" t="s">
        <v>8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GPA ПЛ без экипировки ДК</vt:lpstr>
      <vt:lpstr>GPA ПЛ без экипировки</vt:lpstr>
      <vt:lpstr>GPA ПЛ в бинтах</vt:lpstr>
      <vt:lpstr>GPA Двоеборье без экип ДК</vt:lpstr>
      <vt:lpstr>GPA Двоеборье без экип</vt:lpstr>
      <vt:lpstr>GPA Жим без экипировки ДК</vt:lpstr>
      <vt:lpstr>GPA Жим без экипировки</vt:lpstr>
      <vt:lpstr>СПР Жим софт однопетельная ДК</vt:lpstr>
      <vt:lpstr>СПР Жим софт однопетельная</vt:lpstr>
      <vt:lpstr>СПР Жим софт многопетельная</vt:lpstr>
      <vt:lpstr>СПР Жим СФО</vt:lpstr>
      <vt:lpstr>GPA Тяга без экипировки ДК</vt:lpstr>
      <vt:lpstr>GPA Тяга без экипировки</vt:lpstr>
      <vt:lpstr>СПР Пауэрспорт</vt:lpstr>
      <vt:lpstr>СПР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2021-11-29T14:48:29Z</dcterms:modified>
</cp:coreProperties>
</file>