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3" documentId="8_{CAB6C422-D5D4-41A5-B5DE-4222B0E79AAB}" xr6:coauthVersionLast="47" xr6:coauthVersionMax="47" xr10:uidLastSave="{3618E11C-D36E-4C3D-AC15-93AEFFF44AE4}"/>
  <bookViews>
    <workbookView xWindow="2340" yWindow="2340" windowWidth="32190" windowHeight="12270" tabRatio="999" xr2:uid="{00000000-000D-0000-FFFF-FFFF00000000}"/>
  </bookViews>
  <sheets>
    <sheet name="awpc pl raw" sheetId="22" r:id="rId1"/>
    <sheet name="awpc cl pl" sheetId="23" r:id="rId2"/>
    <sheet name="awpc pl sp" sheetId="24" r:id="rId3"/>
    <sheet name="awpc bp raw" sheetId="26" r:id="rId4"/>
    <sheet name="awpc bp sp" sheetId="29" r:id="rId5"/>
    <sheet name="awpc bp soft std" sheetId="31" r:id="rId6"/>
    <sheet name="awpc dl raw" sheetId="36" r:id="rId7"/>
    <sheet name="awpc dl sp" sheetId="37" r:id="rId8"/>
    <sheet name="awpc sc" sheetId="39" r:id="rId9"/>
    <sheet name="WPC cl pl" sheetId="14" r:id="rId10"/>
    <sheet name="WPC pl sp" sheetId="15" r:id="rId11"/>
    <sheet name="WPC bp raw" sheetId="17" r:id="rId12"/>
    <sheet name="WPC bp sp" sheetId="18" r:id="rId13"/>
    <sheet name="WPC bp soft std" sheetId="20" r:id="rId14"/>
    <sheet name="WPC dl raw" sheetId="33" r:id="rId15"/>
    <sheet name="WPC dl sp" sheetId="34" r:id="rId16"/>
    <sheet name="WPC SC" sheetId="40" r:id="rId17"/>
    <sheet name="WPC OB" sheetId="28" r:id="rId1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0" l="1"/>
  <c r="J4" i="40"/>
  <c r="K34" i="39"/>
  <c r="J34" i="39"/>
  <c r="K31" i="39"/>
  <c r="J31" i="39"/>
  <c r="K28" i="39"/>
  <c r="J28" i="39"/>
  <c r="K25" i="39"/>
  <c r="J25" i="39"/>
  <c r="K22" i="39"/>
  <c r="J22" i="39"/>
  <c r="K21" i="39"/>
  <c r="J21" i="39"/>
  <c r="K20" i="39"/>
  <c r="J20" i="39"/>
  <c r="K17" i="39"/>
  <c r="J17" i="39"/>
  <c r="K16" i="39"/>
  <c r="J16" i="39"/>
  <c r="K13" i="39"/>
  <c r="J13" i="39"/>
  <c r="K10" i="39"/>
  <c r="J10" i="39"/>
  <c r="K7" i="39"/>
  <c r="J7" i="39"/>
  <c r="K4" i="39"/>
  <c r="J4" i="39"/>
  <c r="K7" i="37"/>
  <c r="J7" i="37"/>
  <c r="K4" i="37"/>
  <c r="J4" i="37"/>
  <c r="K40" i="36"/>
  <c r="J40" i="36"/>
  <c r="K37" i="36"/>
  <c r="J37" i="36"/>
  <c r="K36" i="36"/>
  <c r="J36" i="36"/>
  <c r="K33" i="36"/>
  <c r="J33" i="36"/>
  <c r="K32" i="36"/>
  <c r="J32" i="36"/>
  <c r="K29" i="36"/>
  <c r="J29" i="36"/>
  <c r="K28" i="36"/>
  <c r="J28" i="36"/>
  <c r="K27" i="36"/>
  <c r="J27" i="36"/>
  <c r="K26" i="36"/>
  <c r="J26" i="36"/>
  <c r="K23" i="36"/>
  <c r="J23" i="36"/>
  <c r="K20" i="36"/>
  <c r="J20" i="36"/>
  <c r="K17" i="36"/>
  <c r="J17" i="36"/>
  <c r="K14" i="36"/>
  <c r="J14" i="36"/>
  <c r="K13" i="36"/>
  <c r="J13" i="36"/>
  <c r="K10" i="36"/>
  <c r="J10" i="36"/>
  <c r="K7" i="36"/>
  <c r="J7" i="36"/>
  <c r="K4" i="36"/>
  <c r="J4" i="36"/>
  <c r="K10" i="34"/>
  <c r="J10" i="34"/>
  <c r="K7" i="34"/>
  <c r="J7" i="34"/>
  <c r="K4" i="34"/>
  <c r="J4" i="34"/>
  <c r="K11" i="33"/>
  <c r="J11" i="33"/>
  <c r="K10" i="33"/>
  <c r="J10" i="33"/>
  <c r="K9" i="33"/>
  <c r="J9" i="33"/>
  <c r="K8" i="33"/>
  <c r="J8" i="33"/>
  <c r="K7" i="33"/>
  <c r="J7" i="33"/>
  <c r="K4" i="33"/>
  <c r="J4" i="33"/>
  <c r="K8" i="31"/>
  <c r="J8" i="31"/>
  <c r="K7" i="31"/>
  <c r="J7" i="31"/>
  <c r="J4" i="31"/>
  <c r="K23" i="29"/>
  <c r="J23" i="29"/>
  <c r="K22" i="29"/>
  <c r="J22" i="29"/>
  <c r="K19" i="29"/>
  <c r="J19" i="29"/>
  <c r="K16" i="29"/>
  <c r="J16" i="29"/>
  <c r="K13" i="29"/>
  <c r="J13" i="29"/>
  <c r="K10" i="29"/>
  <c r="J10" i="29"/>
  <c r="K7" i="29"/>
  <c r="J7" i="29"/>
  <c r="K4" i="29"/>
  <c r="J4" i="29"/>
  <c r="K4" i="28"/>
  <c r="J4" i="28"/>
  <c r="K95" i="26"/>
  <c r="J95" i="26"/>
  <c r="K94" i="26"/>
  <c r="J94" i="26"/>
  <c r="K91" i="26"/>
  <c r="J91" i="26"/>
  <c r="K90" i="26"/>
  <c r="J90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0" i="26"/>
  <c r="J40" i="26"/>
  <c r="K37" i="26"/>
  <c r="J37" i="26"/>
  <c r="K36" i="26"/>
  <c r="J36" i="26"/>
  <c r="K35" i="26"/>
  <c r="J35" i="26"/>
  <c r="K34" i="26"/>
  <c r="J34" i="26"/>
  <c r="K31" i="26"/>
  <c r="J31" i="26"/>
  <c r="K28" i="26"/>
  <c r="J28" i="26"/>
  <c r="K25" i="26"/>
  <c r="J25" i="26"/>
  <c r="K22" i="26"/>
  <c r="J22" i="26"/>
  <c r="K21" i="26"/>
  <c r="J21" i="26"/>
  <c r="K20" i="26"/>
  <c r="J20" i="26"/>
  <c r="K17" i="26"/>
  <c r="J17" i="26"/>
  <c r="K14" i="26"/>
  <c r="J14" i="26"/>
  <c r="K11" i="26"/>
  <c r="J11" i="26"/>
  <c r="K10" i="26"/>
  <c r="J10" i="26"/>
  <c r="K7" i="26"/>
  <c r="J7" i="26"/>
  <c r="K4" i="26"/>
  <c r="J4" i="26"/>
  <c r="S13" i="24"/>
  <c r="R13" i="24"/>
  <c r="S10" i="24"/>
  <c r="R10" i="24"/>
  <c r="S7" i="24"/>
  <c r="R7" i="24"/>
  <c r="S4" i="24"/>
  <c r="R4" i="24"/>
  <c r="S30" i="23"/>
  <c r="R30" i="23"/>
  <c r="S27" i="23"/>
  <c r="R27" i="23"/>
  <c r="S26" i="23"/>
  <c r="R26" i="23"/>
  <c r="S25" i="23"/>
  <c r="R25" i="23"/>
  <c r="S22" i="23"/>
  <c r="R22" i="23"/>
  <c r="S21" i="23"/>
  <c r="R21" i="23"/>
  <c r="S20" i="23"/>
  <c r="R20" i="23"/>
  <c r="S19" i="23"/>
  <c r="R19" i="23"/>
  <c r="S18" i="23"/>
  <c r="R18" i="23"/>
  <c r="S15" i="23"/>
  <c r="R15" i="23"/>
  <c r="S14" i="23"/>
  <c r="R14" i="23"/>
  <c r="S11" i="23"/>
  <c r="R11" i="23"/>
  <c r="S8" i="23"/>
  <c r="R8" i="23"/>
  <c r="S5" i="23"/>
  <c r="R5" i="23"/>
  <c r="S4" i="23"/>
  <c r="R4" i="23"/>
  <c r="S38" i="22"/>
  <c r="R38" i="22"/>
  <c r="S35" i="22"/>
  <c r="R35" i="22"/>
  <c r="S34" i="22"/>
  <c r="R34" i="22"/>
  <c r="S33" i="22"/>
  <c r="R33" i="22"/>
  <c r="S32" i="22"/>
  <c r="R32" i="22"/>
  <c r="S31" i="22"/>
  <c r="R31" i="22"/>
  <c r="S28" i="22"/>
  <c r="R28" i="22"/>
  <c r="S27" i="22"/>
  <c r="R27" i="22"/>
  <c r="S24" i="22"/>
  <c r="R24" i="22"/>
  <c r="S23" i="22"/>
  <c r="R23" i="22"/>
  <c r="S22" i="22"/>
  <c r="R22" i="22"/>
  <c r="S19" i="22"/>
  <c r="R19" i="22"/>
  <c r="S16" i="22"/>
  <c r="R16" i="22"/>
  <c r="S13" i="22"/>
  <c r="R13" i="22"/>
  <c r="S10" i="22"/>
  <c r="R10" i="22"/>
  <c r="S7" i="22"/>
  <c r="R7" i="22"/>
  <c r="S6" i="22"/>
  <c r="R6" i="22"/>
  <c r="S5" i="22"/>
  <c r="R5" i="22"/>
  <c r="S4" i="22"/>
  <c r="R4" i="22"/>
  <c r="K7" i="20"/>
  <c r="J7" i="20"/>
  <c r="K4" i="20"/>
  <c r="J4" i="20"/>
  <c r="K7" i="18"/>
  <c r="J7" i="18"/>
  <c r="K4" i="18"/>
  <c r="J4" i="18"/>
  <c r="K43" i="17"/>
  <c r="J43" i="17"/>
  <c r="K40" i="17"/>
  <c r="J40" i="17"/>
  <c r="K39" i="17"/>
  <c r="J39" i="17"/>
  <c r="K36" i="17"/>
  <c r="J36" i="17"/>
  <c r="K33" i="17"/>
  <c r="J33" i="17"/>
  <c r="K32" i="17"/>
  <c r="J32" i="17"/>
  <c r="K31" i="17"/>
  <c r="J31" i="17"/>
  <c r="K30" i="17"/>
  <c r="J30" i="17"/>
  <c r="K27" i="17"/>
  <c r="J27" i="17"/>
  <c r="K24" i="17"/>
  <c r="J24" i="17"/>
  <c r="K21" i="17"/>
  <c r="J21" i="17"/>
  <c r="K20" i="17"/>
  <c r="J20" i="17"/>
  <c r="K17" i="17"/>
  <c r="J17" i="17"/>
  <c r="K14" i="17"/>
  <c r="J14" i="17"/>
  <c r="K11" i="17"/>
  <c r="J11" i="17"/>
  <c r="K8" i="17"/>
  <c r="J8" i="17"/>
  <c r="K5" i="17"/>
  <c r="J5" i="17"/>
  <c r="K4" i="17"/>
  <c r="J4" i="17"/>
  <c r="S20" i="15"/>
  <c r="R20" i="15"/>
  <c r="S17" i="15"/>
  <c r="R17" i="15"/>
  <c r="S16" i="15"/>
  <c r="R16" i="15"/>
  <c r="S13" i="15"/>
  <c r="R13" i="15"/>
  <c r="S10" i="15"/>
  <c r="R10" i="15"/>
  <c r="S7" i="15"/>
  <c r="R7" i="15"/>
  <c r="S4" i="15"/>
  <c r="R4" i="15"/>
  <c r="S14" i="14"/>
  <c r="R14" i="14"/>
  <c r="S11" i="14"/>
  <c r="R11" i="14"/>
  <c r="S10" i="14"/>
  <c r="R10" i="14"/>
  <c r="S7" i="14"/>
  <c r="R7" i="14"/>
  <c r="S4" i="14"/>
  <c r="R4" i="14"/>
</calcChain>
</file>

<file path=xl/sharedStrings.xml><?xml version="1.0" encoding="utf-8"?>
<sst xmlns="http://schemas.openxmlformats.org/spreadsheetml/2006/main" count="2933" uniqueCount="795">
  <si>
    <t>Name</t>
  </si>
  <si>
    <t>Coach</t>
  </si>
  <si>
    <t>Rec</t>
  </si>
  <si>
    <t>Age Class
Bith date/Age</t>
  </si>
  <si>
    <t>Body Weight Category  100</t>
  </si>
  <si>
    <t>Kazantsev Konstantin</t>
  </si>
  <si>
    <t>1. Kazantsev Konstantin</t>
  </si>
  <si>
    <t>Open (15.05.1989)/32</t>
  </si>
  <si>
    <t>142,40</t>
  </si>
  <si>
    <t>List absolute winners</t>
  </si>
  <si>
    <t>Women</t>
  </si>
  <si>
    <t>Open</t>
  </si>
  <si>
    <t>Age class</t>
  </si>
  <si>
    <t>WC</t>
  </si>
  <si>
    <t>Man</t>
  </si>
  <si>
    <t>Masters</t>
  </si>
  <si>
    <t>Masters 50-54</t>
  </si>
  <si>
    <t>100</t>
  </si>
  <si>
    <t>80,0</t>
  </si>
  <si>
    <t>90,0</t>
  </si>
  <si>
    <t>100,0</t>
  </si>
  <si>
    <t>110,0</t>
  </si>
  <si>
    <t>165,0</t>
  </si>
  <si>
    <t>170,0</t>
  </si>
  <si>
    <t>175,0</t>
  </si>
  <si>
    <t>180,0</t>
  </si>
  <si>
    <t>Body Weight Category  125</t>
  </si>
  <si>
    <t>Vitkevich Nikolay</t>
  </si>
  <si>
    <t>1. Vitkevich Nikolay</t>
  </si>
  <si>
    <t>Open (27.09.1965)/56</t>
  </si>
  <si>
    <t>119,00</t>
  </si>
  <si>
    <t>120,0</t>
  </si>
  <si>
    <t>130,0</t>
  </si>
  <si>
    <t>140,0</t>
  </si>
  <si>
    <t>150,0</t>
  </si>
  <si>
    <t>Masters 55-59 (27.09.1965)/56</t>
  </si>
  <si>
    <t>160,0</t>
  </si>
  <si>
    <t>125</t>
  </si>
  <si>
    <t>Masters 55-59</t>
  </si>
  <si>
    <t>27,5</t>
  </si>
  <si>
    <t>Lukyanov Sergey</t>
  </si>
  <si>
    <t>1. Lukyanov Sergey</t>
  </si>
  <si>
    <t>Masters 65-69 (25.10.1955)/66</t>
  </si>
  <si>
    <t>121,90</t>
  </si>
  <si>
    <t>Masters 65-69</t>
  </si>
  <si>
    <t>45,0</t>
  </si>
  <si>
    <t>55,0</t>
  </si>
  <si>
    <t>60,0</t>
  </si>
  <si>
    <t>65,0</t>
  </si>
  <si>
    <t>75,0</t>
  </si>
  <si>
    <t>85,0</t>
  </si>
  <si>
    <t>Body Weight Category  82.5</t>
  </si>
  <si>
    <t>Dabhani Dhirubhai</t>
  </si>
  <si>
    <t>1. Dabhani Dhirubhai</t>
  </si>
  <si>
    <t>Open (17.05.1995)/26</t>
  </si>
  <si>
    <t>80,00</t>
  </si>
  <si>
    <t>195,0</t>
  </si>
  <si>
    <t>205,0</t>
  </si>
  <si>
    <t>125,0</t>
  </si>
  <si>
    <t>190,0</t>
  </si>
  <si>
    <t>200,0</t>
  </si>
  <si>
    <t>Solovev Vadim</t>
  </si>
  <si>
    <t>1. Solovev Vadim</t>
  </si>
  <si>
    <t>Teen 18-19 (21.07.2003)/18</t>
  </si>
  <si>
    <t>100,00</t>
  </si>
  <si>
    <t>230,0</t>
  </si>
  <si>
    <t>245,0</t>
  </si>
  <si>
    <t>250,0</t>
  </si>
  <si>
    <t>107,5</t>
  </si>
  <si>
    <t>215,0</t>
  </si>
  <si>
    <t>Body Weight Category  110</t>
  </si>
  <si>
    <t>Bykov Dmitriy</t>
  </si>
  <si>
    <t>1. Bykov Dmitriy</t>
  </si>
  <si>
    <t>Open (17.09.1987)/34</t>
  </si>
  <si>
    <t>108,70</t>
  </si>
  <si>
    <t>207,5</t>
  </si>
  <si>
    <t>157,5</t>
  </si>
  <si>
    <t>162,5</t>
  </si>
  <si>
    <t>210,0</t>
  </si>
  <si>
    <t>Poryvakin Sergey</t>
  </si>
  <si>
    <t>1. Poryvakin Sergey</t>
  </si>
  <si>
    <t>Masters 45-49 (10.05.1973)/48</t>
  </si>
  <si>
    <t>104,80</t>
  </si>
  <si>
    <t>240,0</t>
  </si>
  <si>
    <t>220,0</t>
  </si>
  <si>
    <t>Zaytsev Aleksandr</t>
  </si>
  <si>
    <t>1. Zaytsev Aleksandr</t>
  </si>
  <si>
    <t>Masters 40-44 (06.04.1980)/41</t>
  </si>
  <si>
    <t>124,50</t>
  </si>
  <si>
    <t>300,0</t>
  </si>
  <si>
    <t>325,0</t>
  </si>
  <si>
    <t>315,0</t>
  </si>
  <si>
    <t>330,0</t>
  </si>
  <si>
    <t>Teen</t>
  </si>
  <si>
    <t>Teen 18-19</t>
  </si>
  <si>
    <t>82.5</t>
  </si>
  <si>
    <t>110</t>
  </si>
  <si>
    <t>Masters 40-44</t>
  </si>
  <si>
    <t>Masters 45-49</t>
  </si>
  <si>
    <t>Body Weight Category  90</t>
  </si>
  <si>
    <t>Pant Shubhaangi</t>
  </si>
  <si>
    <t>1. Pant Shubhaangi</t>
  </si>
  <si>
    <t>Open (24.09.1986)/35</t>
  </si>
  <si>
    <t>83,30</t>
  </si>
  <si>
    <t>70,0</t>
  </si>
  <si>
    <t>Body Weight Category  56</t>
  </si>
  <si>
    <t>Kotak Keiwal</t>
  </si>
  <si>
    <t>1. Kotak Keiwal</t>
  </si>
  <si>
    <t>Juniors 20-23 (28.10.1999)/22</t>
  </si>
  <si>
    <t>55,40</t>
  </si>
  <si>
    <t>115,0</t>
  </si>
  <si>
    <t>Body Weight Category  75</t>
  </si>
  <si>
    <t>Fedorov Vladimir</t>
  </si>
  <si>
    <t>1. Fedorov Vladimir</t>
  </si>
  <si>
    <t>Masters 55-59 (17.07.1962)/59</t>
  </si>
  <si>
    <t>74,00</t>
  </si>
  <si>
    <t>95,0</t>
  </si>
  <si>
    <t>105,0</t>
  </si>
  <si>
    <t>205,5</t>
  </si>
  <si>
    <t>185,0</t>
  </si>
  <si>
    <t>Parmar Rajesh</t>
  </si>
  <si>
    <t>1. Parmar Rajesh</t>
  </si>
  <si>
    <t>Masters 40-44 (08.03.1977)/44</t>
  </si>
  <si>
    <t>85,10</t>
  </si>
  <si>
    <t>Andreev Valentin</t>
  </si>
  <si>
    <t>1. Andreev Valentin</t>
  </si>
  <si>
    <t>Masters 70-74 (06.05.1948)/73</t>
  </si>
  <si>
    <t>89,10</t>
  </si>
  <si>
    <t>97,5</t>
  </si>
  <si>
    <t>225,0</t>
  </si>
  <si>
    <t>Smolin Anton</t>
  </si>
  <si>
    <t>1. Smolin Anton</t>
  </si>
  <si>
    <t>Masters 40-44 (05.06.1980)/41</t>
  </si>
  <si>
    <t>92,80</t>
  </si>
  <si>
    <t>280,0</t>
  </si>
  <si>
    <t>310,0</t>
  </si>
  <si>
    <t>90</t>
  </si>
  <si>
    <t>Juniors</t>
  </si>
  <si>
    <t>Juniors 20-23</t>
  </si>
  <si>
    <t>56</t>
  </si>
  <si>
    <t>Masters 70-74</t>
  </si>
  <si>
    <t>75</t>
  </si>
  <si>
    <t>Body Weight Category  60</t>
  </si>
  <si>
    <t>Vorotnikova Oksana</t>
  </si>
  <si>
    <t>1. Vorotnikova Oksana</t>
  </si>
  <si>
    <t>Open (16.10.1984)/37</t>
  </si>
  <si>
    <t>58,30</t>
  </si>
  <si>
    <t>Gilmutdinova Elvira</t>
  </si>
  <si>
    <t>2. Gilmutdinova Elvira</t>
  </si>
  <si>
    <t>Open (12.06.1989)/32</t>
  </si>
  <si>
    <t>59,20</t>
  </si>
  <si>
    <t>47,5</t>
  </si>
  <si>
    <t>52,5</t>
  </si>
  <si>
    <t>57,5</t>
  </si>
  <si>
    <t>Body Weight Category  67.5</t>
  </si>
  <si>
    <t>Zhiltsova Kira</t>
  </si>
  <si>
    <t>1. Zhiltsova Kira</t>
  </si>
  <si>
    <t>Masters 75-79 (24.04.1944)/77</t>
  </si>
  <si>
    <t>66,30</t>
  </si>
  <si>
    <t>40,0</t>
  </si>
  <si>
    <t>Petrov Aleksandr</t>
  </si>
  <si>
    <t>Romanova Lubov</t>
  </si>
  <si>
    <t>1. Romanova Lubov</t>
  </si>
  <si>
    <t>Masters 60-64 (28.02.1961)/60</t>
  </si>
  <si>
    <t>78,70</t>
  </si>
  <si>
    <t>50,0</t>
  </si>
  <si>
    <t>Body Weight Category  52</t>
  </si>
  <si>
    <t>Gilmutdinov David</t>
  </si>
  <si>
    <t>1. Gilmutdinov David</t>
  </si>
  <si>
    <t>Teen 13-15 (21.01.2010)/11</t>
  </si>
  <si>
    <t>50,90</t>
  </si>
  <si>
    <t>37,5</t>
  </si>
  <si>
    <t>-. Chirkov Vadim</t>
  </si>
  <si>
    <t>Open (03.11.1997)/24</t>
  </si>
  <si>
    <t>53,70</t>
  </si>
  <si>
    <t>Aleksandrov Dmirtiy</t>
  </si>
  <si>
    <t>1. Aleksandrov Dmirtiy</t>
  </si>
  <si>
    <t>Open (27.12.1979)/41</t>
  </si>
  <si>
    <t>74,40</t>
  </si>
  <si>
    <t>177,5</t>
  </si>
  <si>
    <t>182,5</t>
  </si>
  <si>
    <t>Masters 40-44 (27.12.1979)/41</t>
  </si>
  <si>
    <t>Russu Aleksandr</t>
  </si>
  <si>
    <t>1. Russu Aleksandr</t>
  </si>
  <si>
    <t>Open (10.10.1986)/35</t>
  </si>
  <si>
    <t>80,20</t>
  </si>
  <si>
    <t>152,5</t>
  </si>
  <si>
    <t>Bayduk Sergey</t>
  </si>
  <si>
    <t>1. Bayduk Sergey</t>
  </si>
  <si>
    <t>Open (07.04.1993)/28</t>
  </si>
  <si>
    <t>88,20</t>
  </si>
  <si>
    <t>167,5</t>
  </si>
  <si>
    <t>Klevanniy Petr</t>
  </si>
  <si>
    <t>1. Klevanniy Petr</t>
  </si>
  <si>
    <t>Open (11.11.1980)/41</t>
  </si>
  <si>
    <t>98,40</t>
  </si>
  <si>
    <t>Makushov Andrey</t>
  </si>
  <si>
    <t>2. Makushov Andrey</t>
  </si>
  <si>
    <t>Open (21.07.1991)/30</t>
  </si>
  <si>
    <t>90,90</t>
  </si>
  <si>
    <t>Masters 40-44 (11.11.1980)/41</t>
  </si>
  <si>
    <t>1. Petrov Aleksandr</t>
  </si>
  <si>
    <t>Masters 60-64 (17.07.1960)/61</t>
  </si>
  <si>
    <t>96,50</t>
  </si>
  <si>
    <t>210,5</t>
  </si>
  <si>
    <t>Bragilevskiy Ilya</t>
  </si>
  <si>
    <t>1. Bragilevskiy Ilya</t>
  </si>
  <si>
    <t>Masters 45-49 (28.01.1973)/48</t>
  </si>
  <si>
    <t>106,90</t>
  </si>
  <si>
    <t>172,5</t>
  </si>
  <si>
    <t>Zhiltsov Igor</t>
  </si>
  <si>
    <t>1. Zhiltsov Igor</t>
  </si>
  <si>
    <t>Masters 50-54 (14.08.1970)/51</t>
  </si>
  <si>
    <t>113,80</t>
  </si>
  <si>
    <t>Ivanov Aleksandr</t>
  </si>
  <si>
    <t>-. Ivanov Aleksandr</t>
  </si>
  <si>
    <t>Masters 50-54 (27.03.1968)/53</t>
  </si>
  <si>
    <t>113,70</t>
  </si>
  <si>
    <t>155,0</t>
  </si>
  <si>
    <t>Body Weight Category  140+</t>
  </si>
  <si>
    <t>60</t>
  </si>
  <si>
    <t>Masters 75-79</t>
  </si>
  <si>
    <t>67.5</t>
  </si>
  <si>
    <t>Masters 60-64</t>
  </si>
  <si>
    <t>Teen 13-15</t>
  </si>
  <si>
    <t>52</t>
  </si>
  <si>
    <t>140+</t>
  </si>
  <si>
    <t>Bartenev Aleksey</t>
  </si>
  <si>
    <t>1. Bartenev Aleksey</t>
  </si>
  <si>
    <t>Masters 45-49 (31.03.1975)/46</t>
  </si>
  <si>
    <t>85,50</t>
  </si>
  <si>
    <t>260,0</t>
  </si>
  <si>
    <t>Filatov Leonid</t>
  </si>
  <si>
    <t>1. Filatov Leonid</t>
  </si>
  <si>
    <t>Masters 40-44 (14.09.1978)/43</t>
  </si>
  <si>
    <t>96,10</t>
  </si>
  <si>
    <t>270,0</t>
  </si>
  <si>
    <t>Chuprakova Ekaterina</t>
  </si>
  <si>
    <t>1. Chuprakova Ekaterina</t>
  </si>
  <si>
    <t>Open (11.05.1982)/39</t>
  </si>
  <si>
    <t>58,60</t>
  </si>
  <si>
    <t>112,5</t>
  </si>
  <si>
    <t>117,5</t>
  </si>
  <si>
    <t>62,5</t>
  </si>
  <si>
    <t>122,5</t>
  </si>
  <si>
    <t>127,5</t>
  </si>
  <si>
    <t>Korobeynikova Elena</t>
  </si>
  <si>
    <t>2. Korobeynikova Elena</t>
  </si>
  <si>
    <t>Open (10.12.1996)/25</t>
  </si>
  <si>
    <t>59,10</t>
  </si>
  <si>
    <t>Feshina Evgeniya</t>
  </si>
  <si>
    <t>3. Feshina Evgeniya</t>
  </si>
  <si>
    <t>Open (03.10.1991)/30</t>
  </si>
  <si>
    <t>60,00</t>
  </si>
  <si>
    <t>Zharikova Victoriya</t>
  </si>
  <si>
    <t>1. Zharikova Victoriya</t>
  </si>
  <si>
    <t>Masters 40-44 (11.10.1977)/44</t>
  </si>
  <si>
    <t>87,5</t>
  </si>
  <si>
    <t>Gadetskaya Mariya</t>
  </si>
  <si>
    <t>1. Gadetskaya Mariya</t>
  </si>
  <si>
    <t>Open (19.04.1987)/34</t>
  </si>
  <si>
    <t>68,10</t>
  </si>
  <si>
    <t>77,5</t>
  </si>
  <si>
    <t>135,0</t>
  </si>
  <si>
    <t>Bulgakova Olga</t>
  </si>
  <si>
    <t>1. Bulgakova Olga</t>
  </si>
  <si>
    <t>Open (18.04.1987)/34</t>
  </si>
  <si>
    <t>86,30</t>
  </si>
  <si>
    <t>92,5</t>
  </si>
  <si>
    <t>Spiridonov Nikita</t>
  </si>
  <si>
    <t>1. Spiridonov Nikita</t>
  </si>
  <si>
    <t>Teen 18-19 (15.07.2003)/18</t>
  </si>
  <si>
    <t>66,00</t>
  </si>
  <si>
    <t>145,0</t>
  </si>
  <si>
    <t>Gerasimov Artur</t>
  </si>
  <si>
    <t>1. Gerasimov Artur</t>
  </si>
  <si>
    <t>Open (28.10.1988)/33</t>
  </si>
  <si>
    <t>74,50</t>
  </si>
  <si>
    <t>132,5</t>
  </si>
  <si>
    <t>Solodkov Denis</t>
  </si>
  <si>
    <t>1. Solodkov Denis</t>
  </si>
  <si>
    <t>Open (24.04.1992)/29</t>
  </si>
  <si>
    <t>79,10</t>
  </si>
  <si>
    <t>187,5</t>
  </si>
  <si>
    <t>Drozdov Nikita</t>
  </si>
  <si>
    <t>2. Drozdov Nikita</t>
  </si>
  <si>
    <t>Open (18.01.1987)/34</t>
  </si>
  <si>
    <t>82,50</t>
  </si>
  <si>
    <t>102,5</t>
  </si>
  <si>
    <t>Sobolev Aleksey</t>
  </si>
  <si>
    <t>1. Sobolev Aleksey</t>
  </si>
  <si>
    <t>Masters 40-44 (10.09.1979)/42</t>
  </si>
  <si>
    <t>81,60</t>
  </si>
  <si>
    <t>Tabanakov Oleg</t>
  </si>
  <si>
    <t>1. Tabanakov Oleg</t>
  </si>
  <si>
    <t>Open (29.04.1989)/32</t>
  </si>
  <si>
    <t>87,80</t>
  </si>
  <si>
    <t>RUS/Ruza</t>
  </si>
  <si>
    <t>Robarchuk Andrey</t>
  </si>
  <si>
    <t>2. Robarchuk Andrey</t>
  </si>
  <si>
    <t>Open (16.07.1983)/38</t>
  </si>
  <si>
    <t>87,40</t>
  </si>
  <si>
    <t>Shkrobot Arseniy</t>
  </si>
  <si>
    <t>1. Shkrobot Arseniy</t>
  </si>
  <si>
    <t>Teen 13-15 (20.08.2007)/14</t>
  </si>
  <si>
    <t>92,10</t>
  </si>
  <si>
    <t>Makarevich Vyacheslav</t>
  </si>
  <si>
    <t>1. Makarevich Vyacheslav</t>
  </si>
  <si>
    <t>Open (06.03.1995)/26</t>
  </si>
  <si>
    <t>95,90</t>
  </si>
  <si>
    <t>Antonov Yuriy</t>
  </si>
  <si>
    <t>2. Antonov Yuriy</t>
  </si>
  <si>
    <t>Open (13.11.1987)/34</t>
  </si>
  <si>
    <t>94,90</t>
  </si>
  <si>
    <t>-. Kamenskiy Evgeniy</t>
  </si>
  <si>
    <t>Open (07.06.1991)/30</t>
  </si>
  <si>
    <t>98,80</t>
  </si>
  <si>
    <t>290,0</t>
  </si>
  <si>
    <t>Spiridonov Evgeniy</t>
  </si>
  <si>
    <t>1. Spiridonov Evgeniy</t>
  </si>
  <si>
    <t>Masters 45-49 (02.05.1975)/46</t>
  </si>
  <si>
    <t>98,70</t>
  </si>
  <si>
    <t>Makarov Andrey</t>
  </si>
  <si>
    <t>1. Makarov Andrey</t>
  </si>
  <si>
    <t>Masters 40-44 (18.09.1979)/42</t>
  </si>
  <si>
    <t>106,20</t>
  </si>
  <si>
    <t>137,5</t>
  </si>
  <si>
    <t>235,0</t>
  </si>
  <si>
    <t>Yakushev Oleg</t>
  </si>
  <si>
    <t>320,0</t>
  </si>
  <si>
    <t>255,0</t>
  </si>
  <si>
    <t>Konstantinova Olga</t>
  </si>
  <si>
    <t>1. Konstantinova Olga</t>
  </si>
  <si>
    <t>Open (04.08.1988)/33</t>
  </si>
  <si>
    <t>67,5</t>
  </si>
  <si>
    <t>Glukhova Anna</t>
  </si>
  <si>
    <t>2. Glukhova Anna</t>
  </si>
  <si>
    <t>Open (28.02.1997)/24</t>
  </si>
  <si>
    <t>62,00</t>
  </si>
  <si>
    <t>Tokekar Bhavna</t>
  </si>
  <si>
    <t>1. Tokekar Bhavna</t>
  </si>
  <si>
    <t>Masters 45-49 (31.12.1971)/49</t>
  </si>
  <si>
    <t>68,60</t>
  </si>
  <si>
    <t>72,5</t>
  </si>
  <si>
    <t>Medvedeva Sofiya</t>
  </si>
  <si>
    <t>1. Medvedeva Sofiya</t>
  </si>
  <si>
    <t>Teen 16-17 (14.08.2004)/17</t>
  </si>
  <si>
    <t>88,50</t>
  </si>
  <si>
    <t>42,5</t>
  </si>
  <si>
    <t>Koleboshin Dmitriy</t>
  </si>
  <si>
    <t>1. Koleboshin Dmitriy</t>
  </si>
  <si>
    <t>Juniors 20-23 (14.06.1998)/23</t>
  </si>
  <si>
    <t>74,30</t>
  </si>
  <si>
    <t>Gurjar Indrasingh</t>
  </si>
  <si>
    <t>1. Gurjar Indrasingh</t>
  </si>
  <si>
    <t>Open (10.06.1983)/38</t>
  </si>
  <si>
    <t>74,80</t>
  </si>
  <si>
    <t>135,5</t>
  </si>
  <si>
    <t>Mukhamadov Izzatullo</t>
  </si>
  <si>
    <t>1. Mukhamadov Izzatullo</t>
  </si>
  <si>
    <t>Open (11.08.1998)/23</t>
  </si>
  <si>
    <t>89,00</t>
  </si>
  <si>
    <t>265,0</t>
  </si>
  <si>
    <t>Mohamed Samir</t>
  </si>
  <si>
    <t>2. Mohamed Samir</t>
  </si>
  <si>
    <t>Open (28.09.1977)/44</t>
  </si>
  <si>
    <t>Pavlenko Roman</t>
  </si>
  <si>
    <t>3. Pavlenko Roman</t>
  </si>
  <si>
    <t>Open (27.06.1990)/31</t>
  </si>
  <si>
    <t>1. Mohamed Samir</t>
  </si>
  <si>
    <t>Masters 40-44 (28.09.1977)/44</t>
  </si>
  <si>
    <t>Hilage Sanjay</t>
  </si>
  <si>
    <t>2. Hilage Sanjay</t>
  </si>
  <si>
    <t>Masters 40-44 (01.08.1980)/41</t>
  </si>
  <si>
    <t>87,60</t>
  </si>
  <si>
    <t>227,5</t>
  </si>
  <si>
    <t>Pigrov Sergey</t>
  </si>
  <si>
    <t>1. Pigrov Sergey</t>
  </si>
  <si>
    <t>Open (03.06.1978)/43</t>
  </si>
  <si>
    <t>98,60</t>
  </si>
  <si>
    <t>Maloletnev Vladimir</t>
  </si>
  <si>
    <t>2. Maloletnev Vladimir</t>
  </si>
  <si>
    <t>Open (13.09.1982)/39</t>
  </si>
  <si>
    <t>Masters 40-44 (03.06.1978)/43</t>
  </si>
  <si>
    <t>Akberov Aleksandr</t>
  </si>
  <si>
    <t>1. Akberov Aleksandr</t>
  </si>
  <si>
    <t>Juniors 20-23 (06.10.1999)/22</t>
  </si>
  <si>
    <t>105,10</t>
  </si>
  <si>
    <t>Teen 16-17</t>
  </si>
  <si>
    <t>Dave Varun</t>
  </si>
  <si>
    <t>1. Dave Varun</t>
  </si>
  <si>
    <t>Juniors 20-23 (07.10.2001)/20</t>
  </si>
  <si>
    <t>54,70</t>
  </si>
  <si>
    <t>Trivedi Siddharth</t>
  </si>
  <si>
    <t>1. Trivedi Siddharth</t>
  </si>
  <si>
    <t>Open (11.11.1994)/27</t>
  </si>
  <si>
    <t>Body Weight Category  48</t>
  </si>
  <si>
    <t>Bazhina Ekaterina</t>
  </si>
  <si>
    <t>1. Bazhina Ekaterina</t>
  </si>
  <si>
    <t>Open (04.04.1983)/38</t>
  </si>
  <si>
    <t>47,50</t>
  </si>
  <si>
    <t>Chernyavskaya Tatyana</t>
  </si>
  <si>
    <t>1. Chernyavskaya Tatyana</t>
  </si>
  <si>
    <t>Open (30.07.1995)/26</t>
  </si>
  <si>
    <t>52,00</t>
  </si>
  <si>
    <t>Drabkina Olga</t>
  </si>
  <si>
    <t>1. Drabkina Olga</t>
  </si>
  <si>
    <t>Open (13.11.1972)/49</t>
  </si>
  <si>
    <t>55,70</t>
  </si>
  <si>
    <t>Irkha Sofiya</t>
  </si>
  <si>
    <t>2. Irkha Sofiya</t>
  </si>
  <si>
    <t>Open (08.09.1989)/32</t>
  </si>
  <si>
    <t>Zhemerikina Mariya</t>
  </si>
  <si>
    <t>1. Zhemerikina Mariya</t>
  </si>
  <si>
    <t>Masters 40-44 (02.09.1978)/43</t>
  </si>
  <si>
    <t>59,00</t>
  </si>
  <si>
    <t>Romasenko Irina</t>
  </si>
  <si>
    <t>1. Romasenko Irina</t>
  </si>
  <si>
    <t>Masters 45-49 (22.12.1975)/45</t>
  </si>
  <si>
    <t>64,30</t>
  </si>
  <si>
    <t>Lymareva Elena</t>
  </si>
  <si>
    <t>1. Lymareva Elena</t>
  </si>
  <si>
    <t>Open (20.04.1966)/55</t>
  </si>
  <si>
    <t>70,70</t>
  </si>
  <si>
    <t>Vishnyakov Mikhail</t>
  </si>
  <si>
    <t>Masters 55-59 (20.04.1966)/55</t>
  </si>
  <si>
    <t>Body Weight Category  90+</t>
  </si>
  <si>
    <t>Shel Fetengof</t>
  </si>
  <si>
    <t>1. Shel Fetengof</t>
  </si>
  <si>
    <t>Open (01.05.1983)/38</t>
  </si>
  <si>
    <t>127,30</t>
  </si>
  <si>
    <t>Romasenko Daniil</t>
  </si>
  <si>
    <t>1. Romasenko Daniil</t>
  </si>
  <si>
    <t>Teen 13-15 (19.02.2008)/13</t>
  </si>
  <si>
    <t>54,50</t>
  </si>
  <si>
    <t>Selyanin Dmitriy</t>
  </si>
  <si>
    <t>1. Selyanin Dmitriy</t>
  </si>
  <si>
    <t>Teen 16-17 (10.11.2005)/16</t>
  </si>
  <si>
    <t>58,70</t>
  </si>
  <si>
    <t>120,5</t>
  </si>
  <si>
    <t>Gorshkov Ivan</t>
  </si>
  <si>
    <t>1. Gorshkov Ivan</t>
  </si>
  <si>
    <t>Teen 13-15 (12.02.2007)/14</t>
  </si>
  <si>
    <t>64,40</t>
  </si>
  <si>
    <t>Sulakadze Vladimir</t>
  </si>
  <si>
    <t>1. Sulakadze Vladimir</t>
  </si>
  <si>
    <t>Open (16.06.1990)/31</t>
  </si>
  <si>
    <t>Samara Stanislav</t>
  </si>
  <si>
    <t>2. Samara Stanislav</t>
  </si>
  <si>
    <t>Open (14.03.1989)/32</t>
  </si>
  <si>
    <t>67,30</t>
  </si>
  <si>
    <t>Aslakhov Ural</t>
  </si>
  <si>
    <t>1. Aslakhov Ural</t>
  </si>
  <si>
    <t>Teen 16-17 (07.01.2004)/17</t>
  </si>
  <si>
    <t>Voronin Ilya</t>
  </si>
  <si>
    <t>1. Voronin Ilya</t>
  </si>
  <si>
    <t>Teen 16-17 (03.09.2005)/16</t>
  </si>
  <si>
    <t>68,20</t>
  </si>
  <si>
    <t>82,5</t>
  </si>
  <si>
    <t>Nefedof Igor</t>
  </si>
  <si>
    <t>1. Nefedof Igor</t>
  </si>
  <si>
    <t>Juniors 20-23 (11.11.1999)/22</t>
  </si>
  <si>
    <t>73,00</t>
  </si>
  <si>
    <t>Borodin Vyacheslav</t>
  </si>
  <si>
    <t>1. Borodin Vyacheslav</t>
  </si>
  <si>
    <t>Open (30.10.1987)/34</t>
  </si>
  <si>
    <t>73,10</t>
  </si>
  <si>
    <t>147,5</t>
  </si>
  <si>
    <t>Korshkov Aleksandr</t>
  </si>
  <si>
    <t>2. Nefedof Igor</t>
  </si>
  <si>
    <t>Open (11.11.1999)/22</t>
  </si>
  <si>
    <t>Sidorkin Aleksandr</t>
  </si>
  <si>
    <t>3. Sidorkin Aleksandr</t>
  </si>
  <si>
    <t>Open (10.11.1986)/35</t>
  </si>
  <si>
    <t>75,00</t>
  </si>
  <si>
    <t>Tkachenko Vitaliy</t>
  </si>
  <si>
    <t>1. Tkachenko Vitaliy</t>
  </si>
  <si>
    <t>Masters 40-44 (01.12.1980)/41</t>
  </si>
  <si>
    <t>74,60</t>
  </si>
  <si>
    <t>Danilov Aleksey</t>
  </si>
  <si>
    <t>1. Danilov Aleksey</t>
  </si>
  <si>
    <t>Masters 45-49 (30.04.1975)/46</t>
  </si>
  <si>
    <t>-. Tryakin Daniil</t>
  </si>
  <si>
    <t>Juniors 20-23 (03.04.1998)/23</t>
  </si>
  <si>
    <t>Filatov Dmitriy</t>
  </si>
  <si>
    <t>Tserunyan Artem</t>
  </si>
  <si>
    <t>1. Tserunyan Artem</t>
  </si>
  <si>
    <t>Open (23.01.1984)/37</t>
  </si>
  <si>
    <t>80,50</t>
  </si>
  <si>
    <t>Fomin Roman</t>
  </si>
  <si>
    <t>2. Fomin Roman</t>
  </si>
  <si>
    <t>Open (21.09.1978)/43</t>
  </si>
  <si>
    <t>81,40</t>
  </si>
  <si>
    <t>Trofimov Pavel</t>
  </si>
  <si>
    <t>3. Trofimov Pavel</t>
  </si>
  <si>
    <t>Open (06.06.1987)/34</t>
  </si>
  <si>
    <t>79,40</t>
  </si>
  <si>
    <t>-. Semenyachenko Dmitriy</t>
  </si>
  <si>
    <t>Open (28.09.1993)/28</t>
  </si>
  <si>
    <t>-. Grabenko Artem</t>
  </si>
  <si>
    <t>Open (22.05.1989)/32</t>
  </si>
  <si>
    <t>81,70</t>
  </si>
  <si>
    <t>Agapov Dmitriy</t>
  </si>
  <si>
    <t>-. Agapov Dmitriy</t>
  </si>
  <si>
    <t>Masters 40-44 (30.04.1979)/42</t>
  </si>
  <si>
    <t>79,90</t>
  </si>
  <si>
    <t>Sapalev Vitaliy</t>
  </si>
  <si>
    <t>1. Sapalev Vitaliy</t>
  </si>
  <si>
    <t>Juniors 20-23 (20.10.1999)/22</t>
  </si>
  <si>
    <t>89,90</t>
  </si>
  <si>
    <t>Pismak Aleksandr</t>
  </si>
  <si>
    <t>1. Pismak Aleksandr</t>
  </si>
  <si>
    <t>Open (06.09.1980)/41</t>
  </si>
  <si>
    <t>88,40</t>
  </si>
  <si>
    <t>Zadkov Sergey</t>
  </si>
  <si>
    <t>2. Zadkov Sergey</t>
  </si>
  <si>
    <t>Open (19.11.1987)/34</t>
  </si>
  <si>
    <t>Khusainov Rinat</t>
  </si>
  <si>
    <t>3. Khusainov Rinat</t>
  </si>
  <si>
    <t>Open (24.02.1993)/28</t>
  </si>
  <si>
    <t>Plotkin Artur</t>
  </si>
  <si>
    <t>4. Plotkin Artur</t>
  </si>
  <si>
    <t>Open (25.08.1992)/29</t>
  </si>
  <si>
    <t>88,80</t>
  </si>
  <si>
    <t>Satsevich Vladimir</t>
  </si>
  <si>
    <t>5. Satsevich Vladimir</t>
  </si>
  <si>
    <t>Open (06.05.1988)/33</t>
  </si>
  <si>
    <t>88,90</t>
  </si>
  <si>
    <t>Feofanov Denis</t>
  </si>
  <si>
    <t>1. Feofanov Denis</t>
  </si>
  <si>
    <t>Pletnev Matvey</t>
  </si>
  <si>
    <t>1. Pletnev Matvey</t>
  </si>
  <si>
    <t>Juniors 20-23 (14.12.2000)/20</t>
  </si>
  <si>
    <t>99,50</t>
  </si>
  <si>
    <t>Sharavdorj Altanbagana</t>
  </si>
  <si>
    <t>1. Sharavdorj Altanbagana</t>
  </si>
  <si>
    <t>Open (17.05.1990)/31</t>
  </si>
  <si>
    <t>95,30</t>
  </si>
  <si>
    <t>Metalnikov Andrey</t>
  </si>
  <si>
    <t>2. Metalnikov Andrey</t>
  </si>
  <si>
    <t>Open (24.10.1990)/31</t>
  </si>
  <si>
    <t>97,90</t>
  </si>
  <si>
    <t>Stepanov Fedor</t>
  </si>
  <si>
    <t>3. Stepanov Fedor</t>
  </si>
  <si>
    <t>Open (13.04.1987)/34</t>
  </si>
  <si>
    <t>98,00</t>
  </si>
  <si>
    <t>Kulgin Vladimir</t>
  </si>
  <si>
    <t>4. Kulgin Vladimir</t>
  </si>
  <si>
    <t>Open (14.08.1988)/33</t>
  </si>
  <si>
    <t>97,60</t>
  </si>
  <si>
    <t>Seregin Aleksandr</t>
  </si>
  <si>
    <t>5. Seregin Aleksandr</t>
  </si>
  <si>
    <t>Open (15.12.1982)/38</t>
  </si>
  <si>
    <t>97,40</t>
  </si>
  <si>
    <t>-. Tserkovnikov Aleksey</t>
  </si>
  <si>
    <t>Open (12.04.1991)/30</t>
  </si>
  <si>
    <t>97,30</t>
  </si>
  <si>
    <t>Skoblikov Aleksandr</t>
  </si>
  <si>
    <t>1. Skoblikov Aleksandr</t>
  </si>
  <si>
    <t>Masters 40-44 (09.05.1977)/44</t>
  </si>
  <si>
    <t>99,10</t>
  </si>
  <si>
    <t>Lukyanova Marina</t>
  </si>
  <si>
    <t>Kostryukov Vladimir</t>
  </si>
  <si>
    <t>2. Kostryukov Vladimir</t>
  </si>
  <si>
    <t>Masters 40-44 (23.04.1979)/42</t>
  </si>
  <si>
    <t>94,50</t>
  </si>
  <si>
    <t>-. Romasenko Nikolay</t>
  </si>
  <si>
    <t>Masters 45-49 (19.12.1973)/47</t>
  </si>
  <si>
    <t>Bulgak Viorel</t>
  </si>
  <si>
    <t>1. Bulgak Viorel</t>
  </si>
  <si>
    <t>Open (10.10.1985)/36</t>
  </si>
  <si>
    <t>107,60</t>
  </si>
  <si>
    <t>192,5</t>
  </si>
  <si>
    <t>Zvyagintsev Danila</t>
  </si>
  <si>
    <t>2. Zvyagintsev Danila</t>
  </si>
  <si>
    <t>Open (14.10.1999)/22</t>
  </si>
  <si>
    <t>109,60</t>
  </si>
  <si>
    <t>Morkovkin Aleksandr</t>
  </si>
  <si>
    <t>3. Morkovkin Aleksandr</t>
  </si>
  <si>
    <t>Open (22.01.1982)/39</t>
  </si>
  <si>
    <t>105,90</t>
  </si>
  <si>
    <t>Marutyan Stepan</t>
  </si>
  <si>
    <t>4. Marutyan Stepan</t>
  </si>
  <si>
    <t>Open (27.03.1995)/26</t>
  </si>
  <si>
    <t>106,10</t>
  </si>
  <si>
    <t>Gruntov Victor</t>
  </si>
  <si>
    <t>1. Gruntov Victor</t>
  </si>
  <si>
    <t>Masters 45-49 (27.05.1972)/49</t>
  </si>
  <si>
    <t>107,80</t>
  </si>
  <si>
    <t>Kaminskiy Yevgeniy</t>
  </si>
  <si>
    <t>Bichkov Igor</t>
  </si>
  <si>
    <t>1. Bichkov Igor</t>
  </si>
  <si>
    <t>Masters 50-54 (18.06.1970)/51</t>
  </si>
  <si>
    <t>Demidov Kirill</t>
  </si>
  <si>
    <t>1. Demidov Kirill</t>
  </si>
  <si>
    <t>Open (17.12.1988)/32</t>
  </si>
  <si>
    <t>122,40</t>
  </si>
  <si>
    <t>197,5</t>
  </si>
  <si>
    <t>202,5</t>
  </si>
  <si>
    <t>Yakovenko Vladimir</t>
  </si>
  <si>
    <t>1. Yakovenko Vladimir</t>
  </si>
  <si>
    <t>Masters 60-64 (27.03.1959)/62</t>
  </si>
  <si>
    <t>111,30</t>
  </si>
  <si>
    <t>142,5</t>
  </si>
  <si>
    <t>Yanushkin Nikita</t>
  </si>
  <si>
    <t>1. Yanushkin Nikita</t>
  </si>
  <si>
    <t>Teen 18-19 (15.04.2002)/19</t>
  </si>
  <si>
    <t>140,90</t>
  </si>
  <si>
    <t>Bezrukov Dmitriy</t>
  </si>
  <si>
    <t>1. Bezrukov Dmitriy</t>
  </si>
  <si>
    <t>Open (02.10.1981)/40</t>
  </si>
  <si>
    <t>158,60</t>
  </si>
  <si>
    <t>Uskov Valeriy</t>
  </si>
  <si>
    <t>90+</t>
  </si>
  <si>
    <t>48</t>
  </si>
  <si>
    <t>1. Bareyshin Aleksey</t>
  </si>
  <si>
    <t>Masters 40-44 (27.10.1981)/40</t>
  </si>
  <si>
    <t>105,70</t>
  </si>
  <si>
    <t>Urzhakhanova Luiza</t>
  </si>
  <si>
    <t>1. Urzhakhanova Luiza</t>
  </si>
  <si>
    <t>Teen 18-19 (26.08.2003)/18</t>
  </si>
  <si>
    <t>51,00</t>
  </si>
  <si>
    <t>Sufiyanov A.R.</t>
  </si>
  <si>
    <t>Kalegina Ekaterina</t>
  </si>
  <si>
    <t>1. Kalegina Ekaterina</t>
  </si>
  <si>
    <t>Teen 16-17 (29.08.2004)/17</t>
  </si>
  <si>
    <t>65,20</t>
  </si>
  <si>
    <t>95,5</t>
  </si>
  <si>
    <t>Open (10.11.2005)/16</t>
  </si>
  <si>
    <t>-. Aslakhov Ural</t>
  </si>
  <si>
    <t>Rogozhkin Roman</t>
  </si>
  <si>
    <t>1. Rogozhkin Roman</t>
  </si>
  <si>
    <t>Open (09.01.1997)/24</t>
  </si>
  <si>
    <t>81,50</t>
  </si>
  <si>
    <t>2. Parmar Rajesh</t>
  </si>
  <si>
    <t>-. Golenkov Oleg</t>
  </si>
  <si>
    <t>Open (29.08.1983)/38</t>
  </si>
  <si>
    <t>267,5</t>
  </si>
  <si>
    <t>Verzilov Sergey</t>
  </si>
  <si>
    <t>1. Verzilov Sergey</t>
  </si>
  <si>
    <t>Open (15.10.1986)/35</t>
  </si>
  <si>
    <t>106,80</t>
  </si>
  <si>
    <t>Fritsler Andrey</t>
  </si>
  <si>
    <t>2. Fritsler Andrey</t>
  </si>
  <si>
    <t>Open (11.04.1984)/37</t>
  </si>
  <si>
    <t>108,50</t>
  </si>
  <si>
    <t>Ignatov Aleksandr</t>
  </si>
  <si>
    <t>1. Ignatov Aleksandr</t>
  </si>
  <si>
    <t>Open (21.08.1999)/22</t>
  </si>
  <si>
    <t>101,90</t>
  </si>
  <si>
    <t>237,5</t>
  </si>
  <si>
    <t>1. Korshkov Aleksandr</t>
  </si>
  <si>
    <t>Open (06.01.1986)/35</t>
  </si>
  <si>
    <t>113,90</t>
  </si>
  <si>
    <t>2. Vitkevich Nikolay</t>
  </si>
  <si>
    <t>1. Ivanov Aleksandr</t>
  </si>
  <si>
    <t>201,0</t>
  </si>
  <si>
    <t>Anisimova Kristina</t>
  </si>
  <si>
    <t>1. Anisimova Kristina</t>
  </si>
  <si>
    <t>Open (19.02.1992)/29</t>
  </si>
  <si>
    <t>54,20</t>
  </si>
  <si>
    <t>Odnorogova Irina</t>
  </si>
  <si>
    <t>1. Odnorogova Irina</t>
  </si>
  <si>
    <t>Open (13.01.1988)/33</t>
  </si>
  <si>
    <t>59,80</t>
  </si>
  <si>
    <t>Matusevich Marina</t>
  </si>
  <si>
    <t>1. Matusevich Marina</t>
  </si>
  <si>
    <t>Open (08.01.1988)/33</t>
  </si>
  <si>
    <t>63,60</t>
  </si>
  <si>
    <t>Pigrova Tatyana</t>
  </si>
  <si>
    <t>1. Pigrova Tatyana</t>
  </si>
  <si>
    <t>Masters 50-54 (19.09.1970)/51</t>
  </si>
  <si>
    <t>67,20</t>
  </si>
  <si>
    <t>Sayfulina Natalya</t>
  </si>
  <si>
    <t>1. Sayfulina Natalya</t>
  </si>
  <si>
    <t>Open (14.01.1982)/39</t>
  </si>
  <si>
    <t>70,00</t>
  </si>
  <si>
    <t>-. Andreev Aleksandr</t>
  </si>
  <si>
    <t>Teen 16-17 (24.12.2003)/17</t>
  </si>
  <si>
    <t>55,90</t>
  </si>
  <si>
    <t>Seferov R.A.</t>
  </si>
  <si>
    <t>Romanov Aleksey</t>
  </si>
  <si>
    <t>1. Romanov Aleksey</t>
  </si>
  <si>
    <t>Open (05.02.1986)/35</t>
  </si>
  <si>
    <t>74,90</t>
  </si>
  <si>
    <t>Kashpor A.V.</t>
  </si>
  <si>
    <t>Goncharenko Sergey</t>
  </si>
  <si>
    <t>1. Goncharenko Sergey</t>
  </si>
  <si>
    <t>212,5</t>
  </si>
  <si>
    <t>222,5</t>
  </si>
  <si>
    <t>-. Lomanov Kirill</t>
  </si>
  <si>
    <t>Open (15.07.1987)/34</t>
  </si>
  <si>
    <t>Timokhin Sergey</t>
  </si>
  <si>
    <t>1. Timokhin Sergey</t>
  </si>
  <si>
    <t>Masters 60-64 (27.10.1961)/60</t>
  </si>
  <si>
    <t>87,50</t>
  </si>
  <si>
    <t>Kalinichenko Ivan</t>
  </si>
  <si>
    <t>1. Kalinichenko Ivan</t>
  </si>
  <si>
    <t>Masters 40-44 (02.06.1980)/41</t>
  </si>
  <si>
    <t>95,70</t>
  </si>
  <si>
    <t>Korzinkin Vadim</t>
  </si>
  <si>
    <t>1. Korzinkin Vadim</t>
  </si>
  <si>
    <t>Open (26.03.1983)/38</t>
  </si>
  <si>
    <t>Dubinin Sergey</t>
  </si>
  <si>
    <t>1. Dubinin Sergey</t>
  </si>
  <si>
    <t>Masters 45-49 (17.11.1976)/45</t>
  </si>
  <si>
    <t>109,80</t>
  </si>
  <si>
    <t>Pashkovskiy Stanislav</t>
  </si>
  <si>
    <t>1. Pashkovskiy Stanislav</t>
  </si>
  <si>
    <t>Juniors 20-23 (31.08.1999)/22</t>
  </si>
  <si>
    <t>112,00</t>
  </si>
  <si>
    <t>Sokolova Anna</t>
  </si>
  <si>
    <t>1. Sokolova Anna</t>
  </si>
  <si>
    <t>Open (01.07.1983)/38</t>
  </si>
  <si>
    <t>52,40</t>
  </si>
  <si>
    <t>32,5</t>
  </si>
  <si>
    <t>-. Chrsnyagin Anton</t>
  </si>
  <si>
    <t>Open (21.11.1997)/24</t>
  </si>
  <si>
    <t>0,00</t>
  </si>
  <si>
    <t>Maksimov Vladimir</t>
  </si>
  <si>
    <t>1. Maksimov Vladimir</t>
  </si>
  <si>
    <t>Masters 40-44 (13.10.1980)/41</t>
  </si>
  <si>
    <t>65,30</t>
  </si>
  <si>
    <t>Chesnyagin Anton</t>
  </si>
  <si>
    <t>1. Chesnyagin Anton</t>
  </si>
  <si>
    <t>Afonin Maksim</t>
  </si>
  <si>
    <t>1. Afonin Maksim</t>
  </si>
  <si>
    <t>Masters 45-49 (22.07.1975)/46</t>
  </si>
  <si>
    <t>1. Fomin Roman</t>
  </si>
  <si>
    <t>2. Trofimov Pavel</t>
  </si>
  <si>
    <t>1. Agapov Dmitriy</t>
  </si>
  <si>
    <t>Bereznikov Aleksandr</t>
  </si>
  <si>
    <t>1. Bereznikov Aleksandr</t>
  </si>
  <si>
    <t>Juniors 20-23 (04.06.1999)/22</t>
  </si>
  <si>
    <t>85,90</t>
  </si>
  <si>
    <t>1. Zvyagintsev Danila</t>
  </si>
  <si>
    <t>Kiriyak Oleg</t>
  </si>
  <si>
    <t>1. Kiriyak Oleg</t>
  </si>
  <si>
    <t>Masters 45-49 (17.02.1976)/45</t>
  </si>
  <si>
    <t>114,50</t>
  </si>
  <si>
    <t xml:space="preserve">имя </t>
  </si>
  <si>
    <t>вес</t>
  </si>
  <si>
    <t>город</t>
  </si>
  <si>
    <t>присед</t>
  </si>
  <si>
    <t>жим</t>
  </si>
  <si>
    <t>тяга</t>
  </si>
  <si>
    <t>итог</t>
  </si>
  <si>
    <t>очки</t>
  </si>
  <si>
    <t>тренер</t>
  </si>
  <si>
    <t>имя</t>
  </si>
  <si>
    <t>горо</t>
  </si>
  <si>
    <t>пол</t>
  </si>
  <si>
    <t>f</t>
  </si>
  <si>
    <t>m</t>
  </si>
  <si>
    <t>Москва</t>
  </si>
  <si>
    <t>Клин</t>
  </si>
  <si>
    <t>Химки</t>
  </si>
  <si>
    <t>Красногорск</t>
  </si>
  <si>
    <t>Троицк</t>
  </si>
  <si>
    <t>Зеленоград</t>
  </si>
  <si>
    <t>Чехов</t>
  </si>
  <si>
    <t>Индия</t>
  </si>
  <si>
    <t>Египет</t>
  </si>
  <si>
    <t>Омск</t>
  </si>
  <si>
    <t>Новый Уренгой</t>
  </si>
  <si>
    <t>Лыткарино</t>
  </si>
  <si>
    <t>Нефтекамск</t>
  </si>
  <si>
    <t>Магадан</t>
  </si>
  <si>
    <t>Новороссийск</t>
  </si>
  <si>
    <t>Ростов-на-Дону</t>
  </si>
  <si>
    <t>Домодедово</t>
  </si>
  <si>
    <t>Пушкино</t>
  </si>
  <si>
    <t>Иркутск</t>
  </si>
  <si>
    <t>Монголия</t>
  </si>
  <si>
    <t>Королев</t>
  </si>
  <si>
    <t>Одинцово</t>
  </si>
  <si>
    <t>Жуковский</t>
  </si>
  <si>
    <t>Балашиха</t>
  </si>
  <si>
    <t>Великий Новгород</t>
  </si>
  <si>
    <t>Можайск</t>
  </si>
  <si>
    <t>Новосибирск</t>
  </si>
  <si>
    <t>Калининград</t>
  </si>
  <si>
    <t>Орехово-Зуево</t>
  </si>
  <si>
    <t>Норильск</t>
  </si>
  <si>
    <t>Подольск</t>
  </si>
  <si>
    <t>Лихославль</t>
  </si>
  <si>
    <t>Ржев</t>
  </si>
  <si>
    <t>Ставрополь</t>
  </si>
  <si>
    <t>Вольск</t>
  </si>
  <si>
    <t>Энгельс</t>
  </si>
  <si>
    <t>Уссурийск</t>
  </si>
  <si>
    <t>Анапа</t>
  </si>
  <si>
    <t>Якутск</t>
  </si>
  <si>
    <t>Сафоново</t>
  </si>
  <si>
    <t>Брянск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</si>
</sst>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indent="1"/>
    </xf>
    <xf numFmtId="49" fontId="0" fillId="0" borderId="9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indent="1"/>
    </xf>
    <xf numFmtId="49" fontId="1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/>
    <xf numFmtId="49" fontId="3" fillId="0" borderId="0" xfId="0" applyNumberFormat="1" applyFont="1" applyAlignment="1"/>
    <xf numFmtId="49" fontId="0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Font="1" applyFill="1" applyBorder="1" applyAlignment="1"/>
    <xf numFmtId="49" fontId="1" fillId="0" borderId="8" xfId="0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/>
    <xf numFmtId="49" fontId="2" fillId="0" borderId="9" xfId="0" applyNumberFormat="1" applyFont="1" applyFill="1" applyBorder="1" applyAlignment="1"/>
    <xf numFmtId="49" fontId="1" fillId="0" borderId="9" xfId="0" applyNumberFormat="1" applyFont="1" applyFill="1" applyBorder="1" applyAlignment="1"/>
    <xf numFmtId="49" fontId="0" fillId="0" borderId="8" xfId="0" applyNumberFormat="1" applyFont="1" applyFill="1" applyBorder="1" applyAlignment="1"/>
    <xf numFmtId="49" fontId="2" fillId="0" borderId="8" xfId="0" applyNumberFormat="1" applyFont="1" applyFill="1" applyBorder="1" applyAlignment="1"/>
    <xf numFmtId="49" fontId="0" fillId="0" borderId="5" xfId="0" applyNumberFormat="1" applyFont="1" applyFill="1" applyBorder="1" applyAlignment="1"/>
    <xf numFmtId="49" fontId="2" fillId="0" borderId="5" xfId="0" applyNumberFormat="1" applyFont="1" applyFill="1" applyBorder="1" applyAlignment="1"/>
    <xf numFmtId="49" fontId="1" fillId="0" borderId="5" xfId="0" applyNumberFormat="1" applyFont="1" applyFill="1" applyBorder="1" applyAlignment="1"/>
    <xf numFmtId="49" fontId="0" fillId="0" borderId="10" xfId="0" applyNumberFormat="1" applyFont="1" applyFill="1" applyBorder="1" applyAlignment="1"/>
    <xf numFmtId="49" fontId="2" fillId="0" borderId="10" xfId="0" applyNumberFormat="1" applyFont="1" applyFill="1" applyBorder="1" applyAlignment="1"/>
    <xf numFmtId="49" fontId="1" fillId="0" borderId="10" xfId="0" applyNumberFormat="1" applyFont="1" applyFill="1" applyBorder="1" applyAlignment="1"/>
    <xf numFmtId="49" fontId="1" fillId="0" borderId="5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/>
    <xf numFmtId="49" fontId="3" fillId="0" borderId="7" xfId="0" applyNumberFormat="1" applyFont="1" applyBorder="1" applyAlignment="1"/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3"/>
  <sheetViews>
    <sheetView tabSelected="1" workbookViewId="0">
      <selection activeCell="E20" sqref="E2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5.5703125" style="2" bestFit="1" customWidth="1"/>
    <col min="6" max="8" width="5.5703125" style="3" customWidth="1"/>
    <col min="9" max="9" width="4.7109375" style="3" customWidth="1"/>
    <col min="10" max="12" width="5.5703125" style="3" customWidth="1"/>
    <col min="13" max="13" width="4.7109375" style="3" customWidth="1"/>
    <col min="14" max="16" width="5.5703125" style="3" customWidth="1"/>
    <col min="17" max="17" width="4.7109375" style="3" customWidth="1"/>
    <col min="18" max="18" width="5.7109375" style="7" bestFit="1" customWidth="1"/>
    <col min="19" max="19" width="8.5703125" style="8" bestFit="1" customWidth="1"/>
    <col min="20" max="20" width="13.140625" style="2" bestFit="1" customWidth="1"/>
    <col min="21" max="16384" width="9.140625" style="1"/>
  </cols>
  <sheetData>
    <row r="1" spans="1:20" s="27" customFormat="1" ht="12.75" customHeight="1" x14ac:dyDescent="0.2">
      <c r="A1" s="57" t="s">
        <v>740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743</v>
      </c>
      <c r="G1" s="61"/>
      <c r="H1" s="62"/>
      <c r="I1" s="50"/>
      <c r="J1" s="60" t="s">
        <v>744</v>
      </c>
      <c r="K1" s="61"/>
      <c r="L1" s="62"/>
      <c r="M1" s="50"/>
      <c r="N1" s="60" t="s">
        <v>745</v>
      </c>
      <c r="O1" s="61"/>
      <c r="P1" s="62"/>
      <c r="Q1" s="50"/>
      <c r="R1" s="50" t="s">
        <v>746</v>
      </c>
      <c r="S1" s="50" t="s">
        <v>747</v>
      </c>
      <c r="T1" s="53" t="s">
        <v>748</v>
      </c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>
        <v>1</v>
      </c>
      <c r="K2" s="51">
        <v>2</v>
      </c>
      <c r="L2" s="51">
        <v>3</v>
      </c>
      <c r="M2" s="51" t="s">
        <v>2</v>
      </c>
      <c r="N2" s="51">
        <v>1</v>
      </c>
      <c r="O2" s="51">
        <v>2</v>
      </c>
      <c r="P2" s="51">
        <v>3</v>
      </c>
      <c r="Q2" s="51" t="s">
        <v>2</v>
      </c>
      <c r="R2" s="51"/>
      <c r="S2" s="51"/>
      <c r="T2" s="54"/>
    </row>
    <row r="3" spans="1:20" s="3" customFormat="1" x14ac:dyDescent="0.2">
      <c r="A3" s="55" t="s">
        <v>142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7"/>
      <c r="S3" s="8"/>
      <c r="T3" s="2"/>
    </row>
    <row r="4" spans="1:20" s="3" customFormat="1" x14ac:dyDescent="0.2">
      <c r="A4" s="14" t="s">
        <v>238</v>
      </c>
      <c r="B4" s="14" t="s">
        <v>752</v>
      </c>
      <c r="C4" s="12" t="s">
        <v>239</v>
      </c>
      <c r="D4" s="12" t="s">
        <v>240</v>
      </c>
      <c r="E4" s="39" t="s">
        <v>754</v>
      </c>
      <c r="F4" s="39" t="s">
        <v>117</v>
      </c>
      <c r="G4" s="12" t="s">
        <v>241</v>
      </c>
      <c r="H4" s="12" t="s">
        <v>242</v>
      </c>
      <c r="I4" s="15"/>
      <c r="J4" s="12" t="s">
        <v>153</v>
      </c>
      <c r="K4" s="12" t="s">
        <v>243</v>
      </c>
      <c r="L4" s="12" t="s">
        <v>48</v>
      </c>
      <c r="M4" s="15"/>
      <c r="N4" s="12" t="s">
        <v>110</v>
      </c>
      <c r="O4" s="12" t="s">
        <v>244</v>
      </c>
      <c r="P4" s="15" t="s">
        <v>245</v>
      </c>
      <c r="Q4" s="15"/>
      <c r="R4" s="16" t="str">
        <f>"305,0"</f>
        <v>305,0</v>
      </c>
      <c r="S4" s="17" t="str">
        <f>"306,9825"</f>
        <v>306,9825</v>
      </c>
      <c r="T4" s="14"/>
    </row>
    <row r="5" spans="1:20" s="3" customFormat="1" x14ac:dyDescent="0.2">
      <c r="A5" s="23" t="s">
        <v>247</v>
      </c>
      <c r="B5" s="14" t="s">
        <v>752</v>
      </c>
      <c r="C5" s="22" t="s">
        <v>248</v>
      </c>
      <c r="D5" s="22" t="s">
        <v>249</v>
      </c>
      <c r="E5" s="23" t="s">
        <v>754</v>
      </c>
      <c r="F5" s="22" t="s">
        <v>19</v>
      </c>
      <c r="G5" s="24" t="s">
        <v>20</v>
      </c>
      <c r="H5" s="24"/>
      <c r="I5" s="24"/>
      <c r="J5" s="22" t="s">
        <v>165</v>
      </c>
      <c r="K5" s="22" t="s">
        <v>46</v>
      </c>
      <c r="L5" s="24" t="s">
        <v>47</v>
      </c>
      <c r="M5" s="24"/>
      <c r="N5" s="22" t="s">
        <v>21</v>
      </c>
      <c r="O5" s="22" t="s">
        <v>31</v>
      </c>
      <c r="P5" s="22" t="s">
        <v>245</v>
      </c>
      <c r="Q5" s="24"/>
      <c r="R5" s="25" t="str">
        <f>"272,5"</f>
        <v>272,5</v>
      </c>
      <c r="S5" s="26" t="str">
        <f>"272,4183"</f>
        <v>272,4183</v>
      </c>
      <c r="T5" s="23"/>
    </row>
    <row r="6" spans="1:20" x14ac:dyDescent="0.2">
      <c r="A6" s="23" t="s">
        <v>251</v>
      </c>
      <c r="B6" s="14" t="s">
        <v>752</v>
      </c>
      <c r="C6" s="22" t="s">
        <v>252</v>
      </c>
      <c r="D6" s="22" t="s">
        <v>253</v>
      </c>
      <c r="E6" s="23" t="s">
        <v>754</v>
      </c>
      <c r="F6" s="24" t="s">
        <v>18</v>
      </c>
      <c r="G6" s="22" t="s">
        <v>18</v>
      </c>
      <c r="H6" s="22" t="s">
        <v>19</v>
      </c>
      <c r="I6" s="24"/>
      <c r="J6" s="22" t="s">
        <v>46</v>
      </c>
      <c r="K6" s="24" t="s">
        <v>47</v>
      </c>
      <c r="L6" s="24" t="s">
        <v>47</v>
      </c>
      <c r="M6" s="24"/>
      <c r="N6" s="22" t="s">
        <v>20</v>
      </c>
      <c r="O6" s="22" t="s">
        <v>21</v>
      </c>
      <c r="P6" s="24" t="s">
        <v>31</v>
      </c>
      <c r="Q6" s="24"/>
      <c r="R6" s="25" t="str">
        <f>"255,0"</f>
        <v>255,0</v>
      </c>
      <c r="S6" s="26" t="str">
        <f>"251,8380"</f>
        <v>251,8380</v>
      </c>
      <c r="T6" s="23"/>
    </row>
    <row r="7" spans="1:20" x14ac:dyDescent="0.2">
      <c r="A7" s="18" t="s">
        <v>255</v>
      </c>
      <c r="B7" s="14" t="s">
        <v>752</v>
      </c>
      <c r="C7" s="13" t="s">
        <v>256</v>
      </c>
      <c r="D7" s="13" t="s">
        <v>150</v>
      </c>
      <c r="E7" s="18" t="s">
        <v>754</v>
      </c>
      <c r="F7" s="13" t="s">
        <v>18</v>
      </c>
      <c r="G7" s="19" t="s">
        <v>257</v>
      </c>
      <c r="H7" s="19" t="s">
        <v>257</v>
      </c>
      <c r="I7" s="19"/>
      <c r="J7" s="13" t="s">
        <v>165</v>
      </c>
      <c r="K7" s="13" t="s">
        <v>46</v>
      </c>
      <c r="L7" s="19" t="s">
        <v>153</v>
      </c>
      <c r="M7" s="19"/>
      <c r="N7" s="13" t="s">
        <v>116</v>
      </c>
      <c r="O7" s="13" t="s">
        <v>117</v>
      </c>
      <c r="P7" s="19" t="s">
        <v>21</v>
      </c>
      <c r="Q7" s="19"/>
      <c r="R7" s="20" t="str">
        <f>"240,0"</f>
        <v>240,0</v>
      </c>
      <c r="S7" s="21" t="str">
        <f>"249,9070"</f>
        <v>249,9070</v>
      </c>
      <c r="T7" s="18"/>
    </row>
    <row r="9" spans="1:20" x14ac:dyDescent="0.2">
      <c r="A9" s="33" t="s">
        <v>111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0" x14ac:dyDescent="0.2">
      <c r="A10" s="4" t="s">
        <v>259</v>
      </c>
      <c r="B10" s="4" t="s">
        <v>752</v>
      </c>
      <c r="C10" s="5" t="s">
        <v>260</v>
      </c>
      <c r="D10" s="5" t="s">
        <v>261</v>
      </c>
      <c r="E10" s="4" t="s">
        <v>755</v>
      </c>
      <c r="F10" s="5" t="s">
        <v>110</v>
      </c>
      <c r="G10" s="6" t="s">
        <v>31</v>
      </c>
      <c r="H10" s="6" t="s">
        <v>244</v>
      </c>
      <c r="I10" s="6"/>
      <c r="J10" s="5" t="s">
        <v>104</v>
      </c>
      <c r="K10" s="6" t="s">
        <v>49</v>
      </c>
      <c r="L10" s="6" t="s">
        <v>262</v>
      </c>
      <c r="M10" s="6"/>
      <c r="N10" s="5" t="s">
        <v>58</v>
      </c>
      <c r="O10" s="5" t="s">
        <v>32</v>
      </c>
      <c r="P10" s="5" t="s">
        <v>263</v>
      </c>
      <c r="Q10" s="6"/>
      <c r="R10" s="9" t="str">
        <f>"320,0"</f>
        <v>320,0</v>
      </c>
      <c r="S10" s="10" t="str">
        <f>"285,9360"</f>
        <v>285,9360</v>
      </c>
      <c r="T10" s="4"/>
    </row>
    <row r="12" spans="1:20" x14ac:dyDescent="0.2">
      <c r="A12" s="33" t="s">
        <v>99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0" x14ac:dyDescent="0.2">
      <c r="A13" s="4" t="s">
        <v>265</v>
      </c>
      <c r="B13" s="4" t="s">
        <v>752</v>
      </c>
      <c r="C13" s="5" t="s">
        <v>266</v>
      </c>
      <c r="D13" s="5" t="s">
        <v>267</v>
      </c>
      <c r="E13" s="4" t="s">
        <v>756</v>
      </c>
      <c r="F13" s="6" t="s">
        <v>18</v>
      </c>
      <c r="G13" s="6" t="s">
        <v>50</v>
      </c>
      <c r="H13" s="5" t="s">
        <v>50</v>
      </c>
      <c r="I13" s="6"/>
      <c r="J13" s="5" t="s">
        <v>165</v>
      </c>
      <c r="K13" s="5" t="s">
        <v>46</v>
      </c>
      <c r="L13" s="5" t="s">
        <v>153</v>
      </c>
      <c r="M13" s="6"/>
      <c r="N13" s="5" t="s">
        <v>18</v>
      </c>
      <c r="O13" s="5" t="s">
        <v>50</v>
      </c>
      <c r="P13" s="5" t="s">
        <v>268</v>
      </c>
      <c r="Q13" s="6"/>
      <c r="R13" s="9" t="str">
        <f>"235,0"</f>
        <v>235,0</v>
      </c>
      <c r="S13" s="10" t="str">
        <f>"179,9043"</f>
        <v>179,9043</v>
      </c>
      <c r="T13" s="4"/>
    </row>
    <row r="15" spans="1:20" x14ac:dyDescent="0.2">
      <c r="A15" s="33" t="s">
        <v>154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20" x14ac:dyDescent="0.2">
      <c r="A16" s="4" t="s">
        <v>270</v>
      </c>
      <c r="B16" s="4" t="s">
        <v>752</v>
      </c>
      <c r="C16" s="5" t="s">
        <v>271</v>
      </c>
      <c r="D16" s="5" t="s">
        <v>272</v>
      </c>
      <c r="E16" s="4" t="s">
        <v>754</v>
      </c>
      <c r="F16" s="5" t="s">
        <v>21</v>
      </c>
      <c r="G16" s="5" t="s">
        <v>31</v>
      </c>
      <c r="H16" s="5" t="s">
        <v>32</v>
      </c>
      <c r="I16" s="6"/>
      <c r="J16" s="5" t="s">
        <v>20</v>
      </c>
      <c r="K16" s="6" t="s">
        <v>68</v>
      </c>
      <c r="L16" s="5" t="s">
        <v>68</v>
      </c>
      <c r="M16" s="6"/>
      <c r="N16" s="6" t="s">
        <v>32</v>
      </c>
      <c r="O16" s="5" t="s">
        <v>273</v>
      </c>
      <c r="P16" s="5" t="s">
        <v>36</v>
      </c>
      <c r="Q16" s="6"/>
      <c r="R16" s="9" t="str">
        <f>"397,5"</f>
        <v>397,5</v>
      </c>
      <c r="S16" s="10" t="str">
        <f>"303,2925"</f>
        <v>303,2925</v>
      </c>
      <c r="T16" s="4"/>
    </row>
    <row r="18" spans="1:20" x14ac:dyDescent="0.2">
      <c r="A18" s="33" t="s">
        <v>111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20" x14ac:dyDescent="0.2">
      <c r="A19" s="4" t="s">
        <v>275</v>
      </c>
      <c r="B19" s="4" t="s">
        <v>753</v>
      </c>
      <c r="C19" s="5" t="s">
        <v>276</v>
      </c>
      <c r="D19" s="5" t="s">
        <v>277</v>
      </c>
      <c r="E19" s="4" t="s">
        <v>757</v>
      </c>
      <c r="F19" s="5" t="s">
        <v>245</v>
      </c>
      <c r="G19" s="6" t="s">
        <v>278</v>
      </c>
      <c r="H19" s="6" t="s">
        <v>278</v>
      </c>
      <c r="I19" s="6"/>
      <c r="J19" s="5" t="s">
        <v>110</v>
      </c>
      <c r="K19" s="6" t="s">
        <v>31</v>
      </c>
      <c r="L19" s="6" t="s">
        <v>244</v>
      </c>
      <c r="M19" s="6"/>
      <c r="N19" s="5" t="s">
        <v>22</v>
      </c>
      <c r="O19" s="5" t="s">
        <v>179</v>
      </c>
      <c r="P19" s="6" t="s">
        <v>180</v>
      </c>
      <c r="Q19" s="6"/>
      <c r="R19" s="9" t="str">
        <f>"420,0"</f>
        <v>420,0</v>
      </c>
      <c r="S19" s="10" t="str">
        <f>"290,6190"</f>
        <v>290,6190</v>
      </c>
      <c r="T19" s="4"/>
    </row>
    <row r="21" spans="1:20" x14ac:dyDescent="0.2">
      <c r="A21" s="33" t="s">
        <v>51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20" x14ac:dyDescent="0.2">
      <c r="A22" s="14" t="s">
        <v>280</v>
      </c>
      <c r="B22" s="14" t="s">
        <v>753</v>
      </c>
      <c r="C22" s="12" t="s">
        <v>281</v>
      </c>
      <c r="D22" s="12" t="s">
        <v>282</v>
      </c>
      <c r="E22" s="14" t="s">
        <v>758</v>
      </c>
      <c r="F22" s="15" t="s">
        <v>218</v>
      </c>
      <c r="G22" s="12" t="s">
        <v>36</v>
      </c>
      <c r="H22" s="12" t="s">
        <v>22</v>
      </c>
      <c r="I22" s="15"/>
      <c r="J22" s="12" t="s">
        <v>263</v>
      </c>
      <c r="K22" s="12" t="s">
        <v>33</v>
      </c>
      <c r="L22" s="15" t="s">
        <v>273</v>
      </c>
      <c r="M22" s="15"/>
      <c r="N22" s="12" t="s">
        <v>283</v>
      </c>
      <c r="O22" s="12" t="s">
        <v>60</v>
      </c>
      <c r="P22" s="12" t="s">
        <v>57</v>
      </c>
      <c r="Q22" s="15"/>
      <c r="R22" s="16" t="str">
        <f>"510,0"</f>
        <v>510,0</v>
      </c>
      <c r="S22" s="17" t="str">
        <f>"338,0790"</f>
        <v>338,0790</v>
      </c>
      <c r="T22" s="14"/>
    </row>
    <row r="23" spans="1:20" x14ac:dyDescent="0.2">
      <c r="A23" s="23" t="s">
        <v>285</v>
      </c>
      <c r="B23" s="14" t="s">
        <v>753</v>
      </c>
      <c r="C23" s="22" t="s">
        <v>286</v>
      </c>
      <c r="D23" s="22" t="s">
        <v>287</v>
      </c>
      <c r="E23" s="23" t="s">
        <v>754</v>
      </c>
      <c r="F23" s="24" t="s">
        <v>273</v>
      </c>
      <c r="G23" s="22" t="s">
        <v>36</v>
      </c>
      <c r="H23" s="22" t="s">
        <v>23</v>
      </c>
      <c r="I23" s="24"/>
      <c r="J23" s="22" t="s">
        <v>116</v>
      </c>
      <c r="K23" s="22" t="s">
        <v>288</v>
      </c>
      <c r="L23" s="24" t="s">
        <v>21</v>
      </c>
      <c r="M23" s="24"/>
      <c r="N23" s="22" t="s">
        <v>23</v>
      </c>
      <c r="O23" s="22" t="s">
        <v>59</v>
      </c>
      <c r="P23" s="22" t="s">
        <v>60</v>
      </c>
      <c r="Q23" s="24"/>
      <c r="R23" s="25" t="str">
        <f>"472,5"</f>
        <v>472,5</v>
      </c>
      <c r="S23" s="26" t="str">
        <f>"304,5735"</f>
        <v>304,5735</v>
      </c>
      <c r="T23" s="23"/>
    </row>
    <row r="24" spans="1:20" x14ac:dyDescent="0.2">
      <c r="A24" s="18" t="s">
        <v>290</v>
      </c>
      <c r="B24" s="14" t="s">
        <v>753</v>
      </c>
      <c r="C24" s="13" t="s">
        <v>291</v>
      </c>
      <c r="D24" s="13" t="s">
        <v>292</v>
      </c>
      <c r="E24" s="18" t="s">
        <v>754</v>
      </c>
      <c r="F24" s="19" t="s">
        <v>34</v>
      </c>
      <c r="G24" s="13" t="s">
        <v>34</v>
      </c>
      <c r="H24" s="19" t="s">
        <v>36</v>
      </c>
      <c r="I24" s="19"/>
      <c r="J24" s="13" t="s">
        <v>21</v>
      </c>
      <c r="K24" s="13" t="s">
        <v>110</v>
      </c>
      <c r="L24" s="13" t="s">
        <v>31</v>
      </c>
      <c r="M24" s="19"/>
      <c r="N24" s="13" t="s">
        <v>23</v>
      </c>
      <c r="O24" s="13" t="s">
        <v>119</v>
      </c>
      <c r="P24" s="19" t="s">
        <v>60</v>
      </c>
      <c r="Q24" s="19"/>
      <c r="R24" s="20" t="str">
        <f>"455,0"</f>
        <v>455,0</v>
      </c>
      <c r="S24" s="21" t="str">
        <f>"301,3169"</f>
        <v>301,3169</v>
      </c>
      <c r="T24" s="18"/>
    </row>
    <row r="26" spans="1:20" x14ac:dyDescent="0.2">
      <c r="A26" s="33" t="s">
        <v>99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20" x14ac:dyDescent="0.2">
      <c r="A27" s="14" t="s">
        <v>294</v>
      </c>
      <c r="B27" s="14" t="s">
        <v>753</v>
      </c>
      <c r="C27" s="12" t="s">
        <v>295</v>
      </c>
      <c r="D27" s="12" t="s">
        <v>296</v>
      </c>
      <c r="E27" s="14" t="s">
        <v>297</v>
      </c>
      <c r="F27" s="12" t="s">
        <v>36</v>
      </c>
      <c r="G27" s="12" t="s">
        <v>23</v>
      </c>
      <c r="H27" s="15" t="s">
        <v>119</v>
      </c>
      <c r="I27" s="15"/>
      <c r="J27" s="12" t="s">
        <v>31</v>
      </c>
      <c r="K27" s="12" t="s">
        <v>32</v>
      </c>
      <c r="L27" s="15" t="s">
        <v>33</v>
      </c>
      <c r="M27" s="15"/>
      <c r="N27" s="12" t="s">
        <v>36</v>
      </c>
      <c r="O27" s="12" t="s">
        <v>23</v>
      </c>
      <c r="P27" s="12" t="s">
        <v>25</v>
      </c>
      <c r="Q27" s="15"/>
      <c r="R27" s="16" t="str">
        <f>"480,0"</f>
        <v>480,0</v>
      </c>
      <c r="S27" s="17" t="str">
        <f>"297,8400"</f>
        <v>297,8400</v>
      </c>
      <c r="T27" s="14"/>
    </row>
    <row r="28" spans="1:20" x14ac:dyDescent="0.2">
      <c r="A28" s="18" t="s">
        <v>299</v>
      </c>
      <c r="B28" s="18" t="s">
        <v>753</v>
      </c>
      <c r="C28" s="13" t="s">
        <v>300</v>
      </c>
      <c r="D28" s="13" t="s">
        <v>301</v>
      </c>
      <c r="E28" s="18" t="s">
        <v>754</v>
      </c>
      <c r="F28" s="13" t="s">
        <v>31</v>
      </c>
      <c r="G28" s="19" t="s">
        <v>32</v>
      </c>
      <c r="H28" s="13" t="s">
        <v>263</v>
      </c>
      <c r="I28" s="19"/>
      <c r="J28" s="13" t="s">
        <v>19</v>
      </c>
      <c r="K28" s="13" t="s">
        <v>116</v>
      </c>
      <c r="L28" s="13" t="s">
        <v>20</v>
      </c>
      <c r="M28" s="19"/>
      <c r="N28" s="13" t="s">
        <v>32</v>
      </c>
      <c r="O28" s="13" t="s">
        <v>273</v>
      </c>
      <c r="P28" s="13" t="s">
        <v>36</v>
      </c>
      <c r="Q28" s="19"/>
      <c r="R28" s="20" t="str">
        <f>"395,0"</f>
        <v>395,0</v>
      </c>
      <c r="S28" s="21" t="str">
        <f>"245,7493"</f>
        <v>245,7493</v>
      </c>
      <c r="T28" s="18"/>
    </row>
    <row r="30" spans="1:20" x14ac:dyDescent="0.2">
      <c r="A30" s="33" t="s">
        <v>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20" x14ac:dyDescent="0.2">
      <c r="A31" s="14" t="s">
        <v>303</v>
      </c>
      <c r="B31" s="14" t="s">
        <v>753</v>
      </c>
      <c r="C31" s="12" t="s">
        <v>304</v>
      </c>
      <c r="D31" s="12" t="s">
        <v>305</v>
      </c>
      <c r="E31" s="14" t="s">
        <v>759</v>
      </c>
      <c r="F31" s="12" t="s">
        <v>21</v>
      </c>
      <c r="G31" s="12" t="s">
        <v>31</v>
      </c>
      <c r="H31" s="15" t="s">
        <v>32</v>
      </c>
      <c r="I31" s="15"/>
      <c r="J31" s="12" t="s">
        <v>19</v>
      </c>
      <c r="K31" s="15" t="s">
        <v>116</v>
      </c>
      <c r="L31" s="12" t="s">
        <v>116</v>
      </c>
      <c r="M31" s="15"/>
      <c r="N31" s="12" t="s">
        <v>31</v>
      </c>
      <c r="O31" s="12" t="s">
        <v>32</v>
      </c>
      <c r="P31" s="12" t="s">
        <v>263</v>
      </c>
      <c r="Q31" s="15"/>
      <c r="R31" s="16" t="str">
        <f>"350,0"</f>
        <v>350,0</v>
      </c>
      <c r="S31" s="17" t="str">
        <f>"211,5050"</f>
        <v>211,5050</v>
      </c>
      <c r="T31" s="14"/>
    </row>
    <row r="32" spans="1:20" x14ac:dyDescent="0.2">
      <c r="A32" s="23" t="s">
        <v>307</v>
      </c>
      <c r="B32" s="14" t="s">
        <v>753</v>
      </c>
      <c r="C32" s="22" t="s">
        <v>308</v>
      </c>
      <c r="D32" s="22" t="s">
        <v>309</v>
      </c>
      <c r="E32" s="23" t="s">
        <v>754</v>
      </c>
      <c r="F32" s="22" t="s">
        <v>36</v>
      </c>
      <c r="G32" s="22" t="s">
        <v>23</v>
      </c>
      <c r="H32" s="22" t="s">
        <v>24</v>
      </c>
      <c r="I32" s="24"/>
      <c r="J32" s="22" t="s">
        <v>110</v>
      </c>
      <c r="K32" s="22" t="s">
        <v>58</v>
      </c>
      <c r="L32" s="22" t="s">
        <v>32</v>
      </c>
      <c r="M32" s="24"/>
      <c r="N32" s="22" t="s">
        <v>24</v>
      </c>
      <c r="O32" s="22" t="s">
        <v>59</v>
      </c>
      <c r="P32" s="22" t="s">
        <v>57</v>
      </c>
      <c r="Q32" s="24"/>
      <c r="R32" s="25" t="str">
        <f>"510,0"</f>
        <v>510,0</v>
      </c>
      <c r="S32" s="26" t="str">
        <f>"302,0475"</f>
        <v>302,0475</v>
      </c>
      <c r="T32" s="23"/>
    </row>
    <row r="33" spans="1:20" x14ac:dyDescent="0.2">
      <c r="A33" s="23" t="s">
        <v>311</v>
      </c>
      <c r="B33" s="14" t="s">
        <v>753</v>
      </c>
      <c r="C33" s="22" t="s">
        <v>312</v>
      </c>
      <c r="D33" s="22" t="s">
        <v>313</v>
      </c>
      <c r="E33" s="23" t="s">
        <v>754</v>
      </c>
      <c r="F33" s="22" t="s">
        <v>33</v>
      </c>
      <c r="G33" s="22" t="s">
        <v>34</v>
      </c>
      <c r="H33" s="22" t="s">
        <v>36</v>
      </c>
      <c r="I33" s="24"/>
      <c r="J33" s="22" t="s">
        <v>116</v>
      </c>
      <c r="K33" s="24" t="s">
        <v>117</v>
      </c>
      <c r="L33" s="24" t="s">
        <v>21</v>
      </c>
      <c r="M33" s="24"/>
      <c r="N33" s="22" t="s">
        <v>25</v>
      </c>
      <c r="O33" s="22" t="s">
        <v>59</v>
      </c>
      <c r="P33" s="22" t="s">
        <v>60</v>
      </c>
      <c r="Q33" s="24"/>
      <c r="R33" s="25" t="str">
        <f>"455,0"</f>
        <v>455,0</v>
      </c>
      <c r="S33" s="26" t="str">
        <f>"270,8160"</f>
        <v>270,8160</v>
      </c>
      <c r="T33" s="23"/>
    </row>
    <row r="34" spans="1:20" x14ac:dyDescent="0.2">
      <c r="A34" s="23" t="s">
        <v>314</v>
      </c>
      <c r="B34" s="14" t="s">
        <v>753</v>
      </c>
      <c r="C34" s="22" t="s">
        <v>315</v>
      </c>
      <c r="D34" s="22" t="s">
        <v>316</v>
      </c>
      <c r="E34" s="23" t="s">
        <v>754</v>
      </c>
      <c r="F34" s="24" t="s">
        <v>65</v>
      </c>
      <c r="G34" s="24" t="s">
        <v>83</v>
      </c>
      <c r="H34" s="24" t="s">
        <v>83</v>
      </c>
      <c r="I34" s="24"/>
      <c r="J34" s="22" t="s">
        <v>273</v>
      </c>
      <c r="K34" s="22" t="s">
        <v>218</v>
      </c>
      <c r="L34" s="22" t="s">
        <v>36</v>
      </c>
      <c r="M34" s="24"/>
      <c r="N34" s="22" t="s">
        <v>317</v>
      </c>
      <c r="O34" s="24" t="s">
        <v>135</v>
      </c>
      <c r="P34" s="22" t="s">
        <v>135</v>
      </c>
      <c r="Q34" s="24"/>
      <c r="R34" s="25" t="str">
        <f>"0.00"</f>
        <v>0.00</v>
      </c>
      <c r="S34" s="26" t="str">
        <f>"0,0000"</f>
        <v>0,0000</v>
      </c>
      <c r="T34" s="23"/>
    </row>
    <row r="35" spans="1:20" x14ac:dyDescent="0.2">
      <c r="A35" s="18" t="s">
        <v>319</v>
      </c>
      <c r="B35" s="14" t="s">
        <v>753</v>
      </c>
      <c r="C35" s="13" t="s">
        <v>320</v>
      </c>
      <c r="D35" s="13" t="s">
        <v>321</v>
      </c>
      <c r="E35" s="18" t="s">
        <v>754</v>
      </c>
      <c r="F35" s="13" t="s">
        <v>273</v>
      </c>
      <c r="G35" s="13" t="s">
        <v>218</v>
      </c>
      <c r="H35" s="13" t="s">
        <v>22</v>
      </c>
      <c r="I35" s="19"/>
      <c r="J35" s="13" t="s">
        <v>31</v>
      </c>
      <c r="K35" s="19" t="s">
        <v>32</v>
      </c>
      <c r="L35" s="13" t="s">
        <v>263</v>
      </c>
      <c r="M35" s="19"/>
      <c r="N35" s="13" t="s">
        <v>59</v>
      </c>
      <c r="O35" s="13" t="s">
        <v>57</v>
      </c>
      <c r="P35" s="19" t="s">
        <v>84</v>
      </c>
      <c r="Q35" s="19"/>
      <c r="R35" s="20" t="str">
        <f>"505,0"</f>
        <v>505,0</v>
      </c>
      <c r="S35" s="21" t="str">
        <f>"315,2712"</f>
        <v>315,2712</v>
      </c>
      <c r="T35" s="18"/>
    </row>
    <row r="37" spans="1:20" x14ac:dyDescent="0.2">
      <c r="A37" s="33" t="s">
        <v>70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20" x14ac:dyDescent="0.2">
      <c r="A38" s="4" t="s">
        <v>323</v>
      </c>
      <c r="B38" s="4" t="s">
        <v>753</v>
      </c>
      <c r="C38" s="5" t="s">
        <v>324</v>
      </c>
      <c r="D38" s="5" t="s">
        <v>325</v>
      </c>
      <c r="E38" s="4" t="s">
        <v>754</v>
      </c>
      <c r="F38" s="5" t="s">
        <v>56</v>
      </c>
      <c r="G38" s="5" t="s">
        <v>57</v>
      </c>
      <c r="H38" s="6" t="s">
        <v>69</v>
      </c>
      <c r="I38" s="6"/>
      <c r="J38" s="5" t="s">
        <v>326</v>
      </c>
      <c r="K38" s="5" t="s">
        <v>273</v>
      </c>
      <c r="L38" s="5" t="s">
        <v>34</v>
      </c>
      <c r="M38" s="6"/>
      <c r="N38" s="5" t="s">
        <v>84</v>
      </c>
      <c r="O38" s="5" t="s">
        <v>327</v>
      </c>
      <c r="P38" s="6" t="s">
        <v>66</v>
      </c>
      <c r="Q38" s="6"/>
      <c r="R38" s="9" t="str">
        <f>"590,0"</f>
        <v>590,0</v>
      </c>
      <c r="S38" s="10" t="str">
        <f>"342,0932"</f>
        <v>342,0932</v>
      </c>
      <c r="T38" s="4" t="s">
        <v>328</v>
      </c>
    </row>
    <row r="48" spans="1:20" x14ac:dyDescent="0.2">
      <c r="A48" s="2" t="s">
        <v>9</v>
      </c>
    </row>
    <row r="49" spans="1:4" x14ac:dyDescent="0.2">
      <c r="A49" s="28" t="s">
        <v>10</v>
      </c>
      <c r="B49" s="28"/>
      <c r="C49" s="29"/>
    </row>
    <row r="50" spans="1:4" x14ac:dyDescent="0.2">
      <c r="A50" s="30"/>
      <c r="B50" s="30"/>
      <c r="C50" s="29" t="s">
        <v>11</v>
      </c>
    </row>
    <row r="51" spans="1:4" x14ac:dyDescent="0.2">
      <c r="A51" s="31" t="s">
        <v>0</v>
      </c>
      <c r="B51" s="31"/>
      <c r="C51" s="31" t="s">
        <v>12</v>
      </c>
      <c r="D51" s="31" t="s">
        <v>13</v>
      </c>
    </row>
    <row r="52" spans="1:4" x14ac:dyDescent="0.2">
      <c r="A52" s="11" t="s">
        <v>237</v>
      </c>
      <c r="B52" s="11"/>
      <c r="C52" s="3" t="s">
        <v>11</v>
      </c>
      <c r="D52" s="3" t="s">
        <v>220</v>
      </c>
    </row>
    <row r="53" spans="1:4" x14ac:dyDescent="0.2">
      <c r="A53" s="11" t="s">
        <v>258</v>
      </c>
      <c r="B53" s="11"/>
      <c r="C53" s="3" t="s">
        <v>11</v>
      </c>
      <c r="D53" s="3" t="s">
        <v>141</v>
      </c>
    </row>
    <row r="54" spans="1:4" x14ac:dyDescent="0.2">
      <c r="A54" s="11" t="s">
        <v>246</v>
      </c>
      <c r="B54" s="11"/>
      <c r="C54" s="3" t="s">
        <v>11</v>
      </c>
      <c r="D54" s="3" t="s">
        <v>220</v>
      </c>
    </row>
    <row r="55" spans="1:4" x14ac:dyDescent="0.2">
      <c r="A55" s="11" t="s">
        <v>250</v>
      </c>
      <c r="B55" s="11"/>
      <c r="C55" s="3" t="s">
        <v>11</v>
      </c>
      <c r="D55" s="3" t="s">
        <v>220</v>
      </c>
    </row>
    <row r="56" spans="1:4" x14ac:dyDescent="0.2">
      <c r="A56" s="11" t="s">
        <v>264</v>
      </c>
      <c r="B56" s="11"/>
      <c r="C56" s="3" t="s">
        <v>11</v>
      </c>
      <c r="D56" s="3" t="s">
        <v>136</v>
      </c>
    </row>
    <row r="58" spans="1:4" x14ac:dyDescent="0.2">
      <c r="A58" s="30"/>
      <c r="B58" s="30"/>
      <c r="C58" s="29" t="s">
        <v>15</v>
      </c>
    </row>
    <row r="59" spans="1:4" x14ac:dyDescent="0.2">
      <c r="A59" s="31" t="s">
        <v>0</v>
      </c>
      <c r="B59" s="31"/>
      <c r="C59" s="31" t="s">
        <v>12</v>
      </c>
      <c r="D59" s="31" t="s">
        <v>13</v>
      </c>
    </row>
    <row r="60" spans="1:4" x14ac:dyDescent="0.2">
      <c r="A60" s="11" t="s">
        <v>254</v>
      </c>
      <c r="B60" s="11"/>
      <c r="C60" s="3" t="s">
        <v>97</v>
      </c>
      <c r="D60" s="3" t="s">
        <v>220</v>
      </c>
    </row>
    <row r="63" spans="1:4" x14ac:dyDescent="0.2">
      <c r="A63" s="28" t="s">
        <v>14</v>
      </c>
      <c r="B63" s="28"/>
      <c r="C63" s="29"/>
    </row>
    <row r="64" spans="1:4" x14ac:dyDescent="0.2">
      <c r="A64" s="30"/>
      <c r="B64" s="30"/>
      <c r="C64" s="29" t="s">
        <v>93</v>
      </c>
    </row>
    <row r="65" spans="1:4" x14ac:dyDescent="0.2">
      <c r="A65" s="31" t="s">
        <v>0</v>
      </c>
      <c r="B65" s="31"/>
      <c r="C65" s="31" t="s">
        <v>12</v>
      </c>
      <c r="D65" s="31" t="s">
        <v>13</v>
      </c>
    </row>
    <row r="66" spans="1:4" x14ac:dyDescent="0.2">
      <c r="A66" s="11" t="s">
        <v>269</v>
      </c>
      <c r="B66" s="11"/>
      <c r="C66" s="3" t="s">
        <v>94</v>
      </c>
      <c r="D66" s="3" t="s">
        <v>222</v>
      </c>
    </row>
    <row r="67" spans="1:4" x14ac:dyDescent="0.2">
      <c r="A67" s="11" t="s">
        <v>302</v>
      </c>
      <c r="B67" s="11"/>
      <c r="C67" s="3" t="s">
        <v>224</v>
      </c>
      <c r="D67" s="3" t="s">
        <v>17</v>
      </c>
    </row>
    <row r="69" spans="1:4" x14ac:dyDescent="0.2">
      <c r="A69" s="30"/>
      <c r="B69" s="30"/>
      <c r="C69" s="29" t="s">
        <v>11</v>
      </c>
    </row>
    <row r="70" spans="1:4" x14ac:dyDescent="0.2">
      <c r="A70" s="31" t="s">
        <v>0</v>
      </c>
      <c r="B70" s="31"/>
      <c r="C70" s="31" t="s">
        <v>12</v>
      </c>
      <c r="D70" s="31" t="s">
        <v>13</v>
      </c>
    </row>
    <row r="71" spans="1:4" x14ac:dyDescent="0.2">
      <c r="A71" s="11" t="s">
        <v>279</v>
      </c>
      <c r="B71" s="11"/>
      <c r="C71" s="3" t="s">
        <v>11</v>
      </c>
      <c r="D71" s="3" t="s">
        <v>95</v>
      </c>
    </row>
    <row r="72" spans="1:4" x14ac:dyDescent="0.2">
      <c r="A72" s="11" t="s">
        <v>284</v>
      </c>
      <c r="B72" s="11"/>
      <c r="C72" s="3" t="s">
        <v>11</v>
      </c>
      <c r="D72" s="3" t="s">
        <v>95</v>
      </c>
    </row>
    <row r="73" spans="1:4" x14ac:dyDescent="0.2">
      <c r="A73" s="11" t="s">
        <v>306</v>
      </c>
      <c r="B73" s="11"/>
      <c r="C73" s="3" t="s">
        <v>11</v>
      </c>
      <c r="D73" s="3" t="s">
        <v>17</v>
      </c>
    </row>
    <row r="74" spans="1:4" x14ac:dyDescent="0.2">
      <c r="A74" s="11" t="s">
        <v>293</v>
      </c>
      <c r="B74" s="11"/>
      <c r="C74" s="3" t="s">
        <v>11</v>
      </c>
      <c r="D74" s="3" t="s">
        <v>136</v>
      </c>
    </row>
    <row r="75" spans="1:4" x14ac:dyDescent="0.2">
      <c r="A75" s="11" t="s">
        <v>274</v>
      </c>
      <c r="B75" s="11"/>
      <c r="C75" s="3" t="s">
        <v>11</v>
      </c>
      <c r="D75" s="3" t="s">
        <v>141</v>
      </c>
    </row>
    <row r="76" spans="1:4" x14ac:dyDescent="0.2">
      <c r="A76" s="11" t="s">
        <v>310</v>
      </c>
      <c r="B76" s="11"/>
      <c r="C76" s="3" t="s">
        <v>11</v>
      </c>
      <c r="D76" s="3" t="s">
        <v>17</v>
      </c>
    </row>
    <row r="77" spans="1:4" x14ac:dyDescent="0.2">
      <c r="A77" s="11" t="s">
        <v>298</v>
      </c>
      <c r="B77" s="11"/>
      <c r="C77" s="3" t="s">
        <v>11</v>
      </c>
      <c r="D77" s="3" t="s">
        <v>136</v>
      </c>
    </row>
    <row r="79" spans="1:4" x14ac:dyDescent="0.2">
      <c r="A79" s="30"/>
      <c r="B79" s="30"/>
      <c r="C79" s="29" t="s">
        <v>15</v>
      </c>
    </row>
    <row r="80" spans="1:4" x14ac:dyDescent="0.2">
      <c r="A80" s="31" t="s">
        <v>0</v>
      </c>
      <c r="B80" s="31"/>
      <c r="C80" s="31" t="s">
        <v>12</v>
      </c>
      <c r="D80" s="31" t="s">
        <v>13</v>
      </c>
    </row>
    <row r="81" spans="1:4" x14ac:dyDescent="0.2">
      <c r="A81" s="11" t="s">
        <v>322</v>
      </c>
      <c r="B81" s="11"/>
      <c r="C81" s="3" t="s">
        <v>97</v>
      </c>
      <c r="D81" s="3" t="s">
        <v>96</v>
      </c>
    </row>
    <row r="82" spans="1:4" x14ac:dyDescent="0.2">
      <c r="A82" s="11" t="s">
        <v>318</v>
      </c>
      <c r="B82" s="11"/>
      <c r="C82" s="3" t="s">
        <v>98</v>
      </c>
      <c r="D82" s="3" t="s">
        <v>17</v>
      </c>
    </row>
    <row r="83" spans="1:4" x14ac:dyDescent="0.2">
      <c r="A83" s="11" t="s">
        <v>289</v>
      </c>
      <c r="B83" s="11"/>
      <c r="C83" s="3" t="s">
        <v>97</v>
      </c>
      <c r="D83" s="3" t="s">
        <v>95</v>
      </c>
    </row>
  </sheetData>
  <mergeCells count="3">
    <mergeCell ref="F1:H1"/>
    <mergeCell ref="J1:L1"/>
    <mergeCell ref="N1:P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8"/>
  <sheetViews>
    <sheetView workbookViewId="0">
      <selection activeCell="E22" sqref="E22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9.5703125" style="2" bestFit="1" customWidth="1"/>
    <col min="6" max="8" width="5.5703125" style="3" customWidth="1"/>
    <col min="9" max="9" width="4.7109375" style="3" customWidth="1"/>
    <col min="10" max="12" width="5.5703125" style="3" customWidth="1"/>
    <col min="13" max="13" width="4.7109375" style="3" customWidth="1"/>
    <col min="14" max="16" width="5.5703125" style="3" customWidth="1"/>
    <col min="17" max="17" width="4.7109375" style="3" customWidth="1"/>
    <col min="18" max="18" width="5.7109375" style="7" bestFit="1" customWidth="1"/>
    <col min="19" max="19" width="8.5703125" style="8" bestFit="1" customWidth="1"/>
    <col min="20" max="20" width="7.140625" style="2" bestFit="1" customWidth="1"/>
    <col min="21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748</v>
      </c>
      <c r="G1" s="61"/>
      <c r="H1" s="62"/>
      <c r="I1" s="50"/>
      <c r="J1" s="60" t="s">
        <v>744</v>
      </c>
      <c r="K1" s="61"/>
      <c r="L1" s="62"/>
      <c r="M1" s="50"/>
      <c r="N1" s="60" t="s">
        <v>745</v>
      </c>
      <c r="O1" s="61"/>
      <c r="P1" s="62"/>
      <c r="Q1" s="50"/>
      <c r="R1" s="50" t="s">
        <v>746</v>
      </c>
      <c r="S1" s="50" t="s">
        <v>747</v>
      </c>
      <c r="T1" s="53" t="s">
        <v>748</v>
      </c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>
        <v>1</v>
      </c>
      <c r="K2" s="51">
        <v>2</v>
      </c>
      <c r="L2" s="51">
        <v>3</v>
      </c>
      <c r="M2" s="51" t="s">
        <v>2</v>
      </c>
      <c r="N2" s="51">
        <v>1</v>
      </c>
      <c r="O2" s="51">
        <v>2</v>
      </c>
      <c r="P2" s="51">
        <v>3</v>
      </c>
      <c r="Q2" s="51" t="s">
        <v>2</v>
      </c>
      <c r="R2" s="51"/>
      <c r="S2" s="51"/>
      <c r="T2" s="54"/>
    </row>
    <row r="3" spans="1:20" s="3" customFormat="1" x14ac:dyDescent="0.2">
      <c r="A3" s="55" t="s">
        <v>51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7"/>
      <c r="S3" s="8"/>
      <c r="T3" s="2"/>
    </row>
    <row r="4" spans="1:20" s="3" customFormat="1" x14ac:dyDescent="0.2">
      <c r="A4" s="4" t="s">
        <v>53</v>
      </c>
      <c r="B4" s="4" t="s">
        <v>753</v>
      </c>
      <c r="C4" s="5" t="s">
        <v>54</v>
      </c>
      <c r="D4" s="5" t="s">
        <v>55</v>
      </c>
      <c r="E4" s="42" t="s">
        <v>761</v>
      </c>
      <c r="F4" s="42" t="s">
        <v>23</v>
      </c>
      <c r="G4" s="5" t="s">
        <v>56</v>
      </c>
      <c r="H4" s="5" t="s">
        <v>57</v>
      </c>
      <c r="I4" s="6"/>
      <c r="J4" s="5" t="s">
        <v>20</v>
      </c>
      <c r="K4" s="5" t="s">
        <v>31</v>
      </c>
      <c r="L4" s="6" t="s">
        <v>58</v>
      </c>
      <c r="M4" s="6"/>
      <c r="N4" s="5" t="s">
        <v>25</v>
      </c>
      <c r="O4" s="5" t="s">
        <v>59</v>
      </c>
      <c r="P4" s="6" t="s">
        <v>60</v>
      </c>
      <c r="Q4" s="6"/>
      <c r="R4" s="9" t="str">
        <f>"515,0"</f>
        <v>515,0</v>
      </c>
      <c r="S4" s="10" t="str">
        <f>"338,7670"</f>
        <v>338,7670</v>
      </c>
      <c r="T4" s="4"/>
    </row>
    <row r="5" spans="1:20" s="3" customFormat="1" x14ac:dyDescent="0.2">
      <c r="A5" s="2"/>
      <c r="B5" s="2"/>
      <c r="E5" s="2"/>
      <c r="R5" s="7"/>
      <c r="S5" s="8"/>
      <c r="T5" s="2"/>
    </row>
    <row r="6" spans="1:20" x14ac:dyDescent="0.2">
      <c r="A6" s="29" t="s">
        <v>4</v>
      </c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20" x14ac:dyDescent="0.2">
      <c r="A7" s="4" t="s">
        <v>62</v>
      </c>
      <c r="B7" s="4" t="s">
        <v>753</v>
      </c>
      <c r="C7" s="5" t="s">
        <v>63</v>
      </c>
      <c r="D7" s="5" t="s">
        <v>64</v>
      </c>
      <c r="E7" s="4" t="s">
        <v>780</v>
      </c>
      <c r="F7" s="5" t="s">
        <v>65</v>
      </c>
      <c r="G7" s="6" t="s">
        <v>66</v>
      </c>
      <c r="H7" s="6" t="s">
        <v>67</v>
      </c>
      <c r="I7" s="6"/>
      <c r="J7" s="5" t="s">
        <v>20</v>
      </c>
      <c r="K7" s="5" t="s">
        <v>68</v>
      </c>
      <c r="L7" s="5" t="s">
        <v>21</v>
      </c>
      <c r="M7" s="6"/>
      <c r="N7" s="5" t="s">
        <v>60</v>
      </c>
      <c r="O7" s="5" t="s">
        <v>69</v>
      </c>
      <c r="P7" s="6" t="s">
        <v>65</v>
      </c>
      <c r="Q7" s="6"/>
      <c r="R7" s="9" t="str">
        <f>"555,0"</f>
        <v>555,0</v>
      </c>
      <c r="S7" s="10" t="str">
        <f>"322,6215"</f>
        <v>322,6215</v>
      </c>
      <c r="T7" s="4"/>
    </row>
    <row r="9" spans="1:20" x14ac:dyDescent="0.2">
      <c r="A9" s="33" t="s">
        <v>70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0" x14ac:dyDescent="0.2">
      <c r="A10" s="14" t="s">
        <v>72</v>
      </c>
      <c r="B10" s="14" t="s">
        <v>753</v>
      </c>
      <c r="C10" s="12" t="s">
        <v>73</v>
      </c>
      <c r="D10" s="12" t="s">
        <v>74</v>
      </c>
      <c r="E10" s="14" t="s">
        <v>782</v>
      </c>
      <c r="F10" s="12" t="s">
        <v>59</v>
      </c>
      <c r="G10" s="12" t="s">
        <v>60</v>
      </c>
      <c r="H10" s="12" t="s">
        <v>75</v>
      </c>
      <c r="I10" s="15"/>
      <c r="J10" s="12" t="s">
        <v>34</v>
      </c>
      <c r="K10" s="12" t="s">
        <v>76</v>
      </c>
      <c r="L10" s="15" t="s">
        <v>77</v>
      </c>
      <c r="M10" s="15"/>
      <c r="N10" s="12" t="s">
        <v>59</v>
      </c>
      <c r="O10" s="12" t="s">
        <v>60</v>
      </c>
      <c r="P10" s="12" t="s">
        <v>78</v>
      </c>
      <c r="Q10" s="15"/>
      <c r="R10" s="16" t="str">
        <f>"575,0"</f>
        <v>575,0</v>
      </c>
      <c r="S10" s="17" t="str">
        <f>"324,5300"</f>
        <v>324,5300</v>
      </c>
      <c r="T10" s="14"/>
    </row>
    <row r="11" spans="1:20" x14ac:dyDescent="0.2">
      <c r="A11" s="18" t="s">
        <v>80</v>
      </c>
      <c r="B11" s="18" t="s">
        <v>753</v>
      </c>
      <c r="C11" s="13" t="s">
        <v>81</v>
      </c>
      <c r="D11" s="13" t="s">
        <v>82</v>
      </c>
      <c r="E11" s="18" t="s">
        <v>781</v>
      </c>
      <c r="F11" s="19" t="s">
        <v>65</v>
      </c>
      <c r="G11" s="13" t="s">
        <v>65</v>
      </c>
      <c r="H11" s="13" t="s">
        <v>83</v>
      </c>
      <c r="I11" s="19"/>
      <c r="J11" s="13" t="s">
        <v>31</v>
      </c>
      <c r="K11" s="13" t="s">
        <v>32</v>
      </c>
      <c r="L11" s="19"/>
      <c r="M11" s="19"/>
      <c r="N11" s="13" t="s">
        <v>84</v>
      </c>
      <c r="O11" s="13" t="s">
        <v>65</v>
      </c>
      <c r="P11" s="13" t="s">
        <v>83</v>
      </c>
      <c r="Q11" s="19"/>
      <c r="R11" s="20" t="str">
        <f>"610,0"</f>
        <v>610,0</v>
      </c>
      <c r="S11" s="21" t="str">
        <f>"382,1295"</f>
        <v>382,1295</v>
      </c>
      <c r="T11" s="18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20" x14ac:dyDescent="0.2">
      <c r="A13" s="29" t="s">
        <v>26</v>
      </c>
      <c r="B13" s="2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20" x14ac:dyDescent="0.2">
      <c r="A14" s="4" t="s">
        <v>86</v>
      </c>
      <c r="B14" s="4" t="s">
        <v>753</v>
      </c>
      <c r="C14" s="5" t="s">
        <v>87</v>
      </c>
      <c r="D14" s="5" t="s">
        <v>88</v>
      </c>
      <c r="E14" s="4" t="s">
        <v>787</v>
      </c>
      <c r="F14" s="5" t="s">
        <v>89</v>
      </c>
      <c r="G14" s="5" t="s">
        <v>90</v>
      </c>
      <c r="H14" s="6"/>
      <c r="I14" s="6"/>
      <c r="J14" s="5" t="s">
        <v>60</v>
      </c>
      <c r="K14" s="6" t="s">
        <v>78</v>
      </c>
      <c r="L14" s="6" t="s">
        <v>78</v>
      </c>
      <c r="M14" s="6"/>
      <c r="N14" s="5" t="s">
        <v>89</v>
      </c>
      <c r="O14" s="5" t="s">
        <v>91</v>
      </c>
      <c r="P14" s="6" t="s">
        <v>92</v>
      </c>
      <c r="Q14" s="6"/>
      <c r="R14" s="9" t="str">
        <f>"840,0"</f>
        <v>840,0</v>
      </c>
      <c r="S14" s="10" t="str">
        <f>"463,2264"</f>
        <v>463,2264</v>
      </c>
      <c r="T14" s="4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21" spans="1:17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4" spans="1:17" x14ac:dyDescent="0.2">
      <c r="A24" s="2" t="s">
        <v>9</v>
      </c>
    </row>
    <row r="25" spans="1:17" x14ac:dyDescent="0.2">
      <c r="A25" s="28" t="s">
        <v>14</v>
      </c>
      <c r="B25" s="28"/>
      <c r="C25" s="29"/>
    </row>
    <row r="26" spans="1:17" x14ac:dyDescent="0.2">
      <c r="A26" s="33"/>
      <c r="B26" s="33"/>
      <c r="C26" s="33" t="s">
        <v>93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2">
      <c r="A27" s="31" t="s">
        <v>0</v>
      </c>
      <c r="B27" s="31"/>
      <c r="C27" s="31" t="s">
        <v>12</v>
      </c>
      <c r="D27" s="31" t="s">
        <v>13</v>
      </c>
    </row>
    <row r="28" spans="1:17" x14ac:dyDescent="0.2">
      <c r="A28" s="11" t="s">
        <v>61</v>
      </c>
      <c r="B28" s="11"/>
      <c r="C28" s="3" t="s">
        <v>94</v>
      </c>
      <c r="D28" s="3" t="s">
        <v>17</v>
      </c>
    </row>
    <row r="30" spans="1:17" x14ac:dyDescent="0.2">
      <c r="A30" s="33"/>
      <c r="B30" s="33"/>
      <c r="C30" s="33" t="s">
        <v>11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2">
      <c r="A31" s="31" t="s">
        <v>0</v>
      </c>
      <c r="B31" s="31"/>
      <c r="C31" s="31" t="s">
        <v>12</v>
      </c>
      <c r="D31" s="31" t="s">
        <v>13</v>
      </c>
    </row>
    <row r="32" spans="1:17" x14ac:dyDescent="0.2">
      <c r="A32" s="11" t="s">
        <v>52</v>
      </c>
      <c r="B32" s="11"/>
      <c r="C32" s="3" t="s">
        <v>11</v>
      </c>
      <c r="D32" s="3" t="s">
        <v>95</v>
      </c>
    </row>
    <row r="33" spans="1:17" x14ac:dyDescent="0.2">
      <c r="A33" s="11" t="s">
        <v>71</v>
      </c>
      <c r="B33" s="11"/>
      <c r="C33" s="3" t="s">
        <v>11</v>
      </c>
      <c r="D33" s="3" t="s">
        <v>96</v>
      </c>
    </row>
    <row r="35" spans="1:17" x14ac:dyDescent="0.2">
      <c r="A35" s="30"/>
      <c r="B35" s="30"/>
      <c r="C35" s="29" t="s">
        <v>15</v>
      </c>
    </row>
    <row r="36" spans="1:17" x14ac:dyDescent="0.2">
      <c r="A36" s="31" t="s">
        <v>0</v>
      </c>
      <c r="B36" s="31"/>
      <c r="C36" s="31" t="s">
        <v>12</v>
      </c>
      <c r="D36" s="31" t="s">
        <v>13</v>
      </c>
    </row>
    <row r="37" spans="1:17" x14ac:dyDescent="0.2">
      <c r="A37" s="35" t="s">
        <v>85</v>
      </c>
      <c r="B37" s="35"/>
      <c r="C37" s="35" t="s">
        <v>97</v>
      </c>
      <c r="D37" s="35" t="s">
        <v>37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2">
      <c r="A38" s="11" t="s">
        <v>79</v>
      </c>
      <c r="B38" s="11"/>
      <c r="C38" s="3" t="s">
        <v>98</v>
      </c>
      <c r="D38" s="3" t="s">
        <v>96</v>
      </c>
    </row>
  </sheetData>
  <mergeCells count="3">
    <mergeCell ref="F1:H1"/>
    <mergeCell ref="J1:L1"/>
    <mergeCell ref="N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1"/>
  <sheetViews>
    <sheetView workbookViewId="0">
      <selection activeCell="E20" sqref="E2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12" width="5.5703125" style="3" customWidth="1"/>
    <col min="13" max="13" width="4.7109375" style="3" customWidth="1"/>
    <col min="14" max="16" width="5.5703125" style="3" customWidth="1"/>
    <col min="17" max="17" width="4.7109375" style="3" customWidth="1"/>
    <col min="18" max="18" width="5.7109375" style="7" bestFit="1" customWidth="1"/>
    <col min="19" max="19" width="8.5703125" style="8" bestFit="1" customWidth="1"/>
    <col min="20" max="20" width="7.140625" style="2" bestFit="1" customWidth="1"/>
    <col min="21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743</v>
      </c>
      <c r="G1" s="61"/>
      <c r="H1" s="62"/>
      <c r="I1" s="50"/>
      <c r="J1" s="60" t="s">
        <v>744</v>
      </c>
      <c r="K1" s="61"/>
      <c r="L1" s="62"/>
      <c r="M1" s="50"/>
      <c r="N1" s="60" t="s">
        <v>745</v>
      </c>
      <c r="O1" s="61"/>
      <c r="P1" s="62"/>
      <c r="Q1" s="50"/>
      <c r="R1" s="50" t="s">
        <v>746</v>
      </c>
      <c r="S1" s="50" t="s">
        <v>747</v>
      </c>
      <c r="T1" s="53" t="s">
        <v>748</v>
      </c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>
        <v>1</v>
      </c>
      <c r="K2" s="51">
        <v>2</v>
      </c>
      <c r="L2" s="51">
        <v>3</v>
      </c>
      <c r="M2" s="51" t="s">
        <v>2</v>
      </c>
      <c r="N2" s="51">
        <v>1</v>
      </c>
      <c r="O2" s="51">
        <v>2</v>
      </c>
      <c r="P2" s="51">
        <v>3</v>
      </c>
      <c r="Q2" s="51" t="s">
        <v>2</v>
      </c>
      <c r="R2" s="51"/>
      <c r="S2" s="51"/>
      <c r="T2" s="54"/>
    </row>
    <row r="3" spans="1:20" s="3" customFormat="1" x14ac:dyDescent="0.2">
      <c r="A3" s="55" t="s">
        <v>99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7"/>
      <c r="S3" s="8"/>
      <c r="T3" s="2"/>
    </row>
    <row r="4" spans="1:20" s="3" customFormat="1" x14ac:dyDescent="0.2">
      <c r="A4" s="4" t="s">
        <v>101</v>
      </c>
      <c r="B4" s="4" t="s">
        <v>752</v>
      </c>
      <c r="C4" s="5" t="s">
        <v>102</v>
      </c>
      <c r="D4" s="5" t="s">
        <v>103</v>
      </c>
      <c r="E4" s="42" t="s">
        <v>761</v>
      </c>
      <c r="F4" s="43" t="s">
        <v>34</v>
      </c>
      <c r="G4" s="6" t="s">
        <v>34</v>
      </c>
      <c r="H4" s="5" t="s">
        <v>34</v>
      </c>
      <c r="I4" s="6" t="s">
        <v>36</v>
      </c>
      <c r="J4" s="5" t="s">
        <v>47</v>
      </c>
      <c r="K4" s="5" t="s">
        <v>104</v>
      </c>
      <c r="L4" s="6" t="s">
        <v>49</v>
      </c>
      <c r="M4" s="6"/>
      <c r="N4" s="5" t="s">
        <v>32</v>
      </c>
      <c r="O4" s="5" t="s">
        <v>33</v>
      </c>
      <c r="P4" s="5" t="s">
        <v>34</v>
      </c>
      <c r="Q4" s="6"/>
      <c r="R4" s="9" t="str">
        <f>"370,0"</f>
        <v>370,0</v>
      </c>
      <c r="S4" s="10" t="str">
        <f>"289,3030"</f>
        <v>289,3030</v>
      </c>
      <c r="T4" s="4"/>
    </row>
    <row r="5" spans="1:20" s="3" customFormat="1" x14ac:dyDescent="0.2">
      <c r="A5" s="2"/>
      <c r="B5" s="2"/>
      <c r="E5" s="2"/>
      <c r="R5" s="7"/>
      <c r="S5" s="8"/>
      <c r="T5" s="2"/>
    </row>
    <row r="6" spans="1:20" x14ac:dyDescent="0.2">
      <c r="A6" s="29" t="s">
        <v>105</v>
      </c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20" x14ac:dyDescent="0.2">
      <c r="A7" s="4" t="s">
        <v>107</v>
      </c>
      <c r="B7" s="4" t="s">
        <v>753</v>
      </c>
      <c r="C7" s="5" t="s">
        <v>108</v>
      </c>
      <c r="D7" s="5" t="s">
        <v>109</v>
      </c>
      <c r="E7" s="4" t="s">
        <v>761</v>
      </c>
      <c r="F7" s="5" t="s">
        <v>110</v>
      </c>
      <c r="G7" s="5" t="s">
        <v>58</v>
      </c>
      <c r="H7" s="5" t="s">
        <v>32</v>
      </c>
      <c r="I7" s="6"/>
      <c r="J7" s="5" t="s">
        <v>48</v>
      </c>
      <c r="K7" s="5" t="s">
        <v>18</v>
      </c>
      <c r="L7" s="5" t="s">
        <v>50</v>
      </c>
      <c r="M7" s="6"/>
      <c r="N7" s="5" t="s">
        <v>32</v>
      </c>
      <c r="O7" s="5" t="s">
        <v>36</v>
      </c>
      <c r="P7" s="5" t="s">
        <v>25</v>
      </c>
      <c r="Q7" s="6"/>
      <c r="R7" s="9" t="str">
        <f>"395,0"</f>
        <v>395,0</v>
      </c>
      <c r="S7" s="10" t="str">
        <f>"356,5467"</f>
        <v>356,5467</v>
      </c>
      <c r="T7" s="4"/>
    </row>
    <row r="9" spans="1:20" x14ac:dyDescent="0.2">
      <c r="A9" s="33" t="s">
        <v>111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0" x14ac:dyDescent="0.2">
      <c r="A10" s="4" t="s">
        <v>113</v>
      </c>
      <c r="B10" s="4" t="s">
        <v>753</v>
      </c>
      <c r="C10" s="5" t="s">
        <v>114</v>
      </c>
      <c r="D10" s="5" t="s">
        <v>115</v>
      </c>
      <c r="E10" s="4" t="s">
        <v>788</v>
      </c>
      <c r="F10" s="5" t="s">
        <v>22</v>
      </c>
      <c r="G10" s="5" t="s">
        <v>24</v>
      </c>
      <c r="H10" s="5" t="s">
        <v>25</v>
      </c>
      <c r="I10" s="6"/>
      <c r="J10" s="5" t="s">
        <v>116</v>
      </c>
      <c r="K10" s="5" t="s">
        <v>20</v>
      </c>
      <c r="L10" s="5" t="s">
        <v>117</v>
      </c>
      <c r="M10" s="6"/>
      <c r="N10" s="5" t="s">
        <v>25</v>
      </c>
      <c r="O10" s="5" t="s">
        <v>59</v>
      </c>
      <c r="P10" s="5" t="s">
        <v>118</v>
      </c>
      <c r="Q10" s="6"/>
      <c r="R10" s="9" t="str">
        <f>"490,0"</f>
        <v>490,0</v>
      </c>
      <c r="S10" s="10" t="str">
        <f>"448,1132"</f>
        <v>448,1132</v>
      </c>
      <c r="T10" s="4"/>
    </row>
    <row r="12" spans="1:20" x14ac:dyDescent="0.2">
      <c r="A12" s="33" t="s">
        <v>51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0" x14ac:dyDescent="0.2">
      <c r="A13" s="4" t="s">
        <v>53</v>
      </c>
      <c r="B13" s="4" t="s">
        <v>753</v>
      </c>
      <c r="C13" s="5" t="s">
        <v>54</v>
      </c>
      <c r="D13" s="5" t="s">
        <v>55</v>
      </c>
      <c r="E13" s="4" t="s">
        <v>761</v>
      </c>
      <c r="F13" s="5" t="s">
        <v>119</v>
      </c>
      <c r="G13" s="6"/>
      <c r="H13" s="6"/>
      <c r="I13" s="6"/>
      <c r="J13" s="5" t="s">
        <v>31</v>
      </c>
      <c r="K13" s="6"/>
      <c r="L13" s="6"/>
      <c r="M13" s="6"/>
      <c r="N13" s="5" t="s">
        <v>25</v>
      </c>
      <c r="O13" s="5" t="s">
        <v>59</v>
      </c>
      <c r="P13" s="6" t="s">
        <v>60</v>
      </c>
      <c r="Q13" s="6"/>
      <c r="R13" s="9" t="str">
        <f>"495,0"</f>
        <v>495,0</v>
      </c>
      <c r="S13" s="10" t="str">
        <f>"325,6110"</f>
        <v>325,6110</v>
      </c>
      <c r="T13" s="4"/>
    </row>
    <row r="15" spans="1:20" x14ac:dyDescent="0.2">
      <c r="A15" s="33" t="s">
        <v>99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20" x14ac:dyDescent="0.2">
      <c r="A16" s="14" t="s">
        <v>121</v>
      </c>
      <c r="B16" s="14" t="s">
        <v>753</v>
      </c>
      <c r="C16" s="12" t="s">
        <v>122</v>
      </c>
      <c r="D16" s="12" t="s">
        <v>123</v>
      </c>
      <c r="E16" s="14" t="s">
        <v>761</v>
      </c>
      <c r="F16" s="12" t="s">
        <v>25</v>
      </c>
      <c r="G16" s="15" t="s">
        <v>119</v>
      </c>
      <c r="H16" s="15"/>
      <c r="I16" s="15"/>
      <c r="J16" s="12" t="s">
        <v>20</v>
      </c>
      <c r="K16" s="15"/>
      <c r="L16" s="15"/>
      <c r="M16" s="15"/>
      <c r="N16" s="12" t="s">
        <v>60</v>
      </c>
      <c r="O16" s="12" t="s">
        <v>84</v>
      </c>
      <c r="P16" s="12" t="s">
        <v>65</v>
      </c>
      <c r="Q16" s="15"/>
      <c r="R16" s="16" t="str">
        <f>"510,0"</f>
        <v>510,0</v>
      </c>
      <c r="S16" s="17" t="str">
        <f>"336,2595"</f>
        <v>336,2595</v>
      </c>
      <c r="T16" s="14"/>
    </row>
    <row r="17" spans="1:20" x14ac:dyDescent="0.2">
      <c r="A17" s="18" t="s">
        <v>125</v>
      </c>
      <c r="B17" s="18" t="s">
        <v>753</v>
      </c>
      <c r="C17" s="13" t="s">
        <v>126</v>
      </c>
      <c r="D17" s="13" t="s">
        <v>127</v>
      </c>
      <c r="E17" s="18" t="s">
        <v>789</v>
      </c>
      <c r="F17" s="13" t="s">
        <v>60</v>
      </c>
      <c r="G17" s="19" t="s">
        <v>78</v>
      </c>
      <c r="H17" s="13" t="s">
        <v>78</v>
      </c>
      <c r="I17" s="19"/>
      <c r="J17" s="13" t="s">
        <v>19</v>
      </c>
      <c r="K17" s="13" t="s">
        <v>116</v>
      </c>
      <c r="L17" s="19" t="s">
        <v>128</v>
      </c>
      <c r="M17" s="19"/>
      <c r="N17" s="13" t="s">
        <v>78</v>
      </c>
      <c r="O17" s="13" t="s">
        <v>129</v>
      </c>
      <c r="P17" s="19"/>
      <c r="Q17" s="19"/>
      <c r="R17" s="20" t="str">
        <f>"530,0"</f>
        <v>530,0</v>
      </c>
      <c r="S17" s="21" t="str">
        <f>"572,6474"</f>
        <v>572,6474</v>
      </c>
      <c r="T17" s="18"/>
    </row>
    <row r="18" spans="1:20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20" x14ac:dyDescent="0.2">
      <c r="A19" s="29" t="s">
        <v>4</v>
      </c>
      <c r="B19" s="29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20" x14ac:dyDescent="0.2">
      <c r="A20" s="4" t="s">
        <v>131</v>
      </c>
      <c r="B20" s="4" t="s">
        <v>753</v>
      </c>
      <c r="C20" s="5" t="s">
        <v>132</v>
      </c>
      <c r="D20" s="5" t="s">
        <v>133</v>
      </c>
      <c r="E20" s="4" t="s">
        <v>790</v>
      </c>
      <c r="F20" s="6" t="s">
        <v>134</v>
      </c>
      <c r="G20" s="5" t="s">
        <v>134</v>
      </c>
      <c r="H20" s="6" t="s">
        <v>135</v>
      </c>
      <c r="I20" s="6"/>
      <c r="J20" s="5" t="s">
        <v>25</v>
      </c>
      <c r="K20" s="6" t="s">
        <v>60</v>
      </c>
      <c r="L20" s="6" t="s">
        <v>60</v>
      </c>
      <c r="M20" s="6"/>
      <c r="N20" s="5" t="s">
        <v>60</v>
      </c>
      <c r="O20" s="6" t="s">
        <v>67</v>
      </c>
      <c r="P20" s="5" t="s">
        <v>67</v>
      </c>
      <c r="Q20" s="6"/>
      <c r="R20" s="9" t="str">
        <f>"710,0"</f>
        <v>710,0</v>
      </c>
      <c r="S20" s="10" t="str">
        <f>"431,6583"</f>
        <v>431,6583</v>
      </c>
      <c r="T20" s="4"/>
    </row>
    <row r="21" spans="1:20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6" spans="1:20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30" spans="1:20" x14ac:dyDescent="0.2">
      <c r="A30" s="35" t="s">
        <v>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20" x14ac:dyDescent="0.2">
      <c r="A31" s="28" t="s">
        <v>10</v>
      </c>
      <c r="B31" s="28"/>
      <c r="C31" s="29"/>
    </row>
    <row r="32" spans="1:20" x14ac:dyDescent="0.2">
      <c r="A32" s="30"/>
      <c r="B32" s="30"/>
      <c r="C32" s="29" t="s">
        <v>11</v>
      </c>
    </row>
    <row r="33" spans="1:17" x14ac:dyDescent="0.2">
      <c r="A33" s="31" t="s">
        <v>0</v>
      </c>
      <c r="B33" s="31"/>
      <c r="C33" s="31" t="s">
        <v>12</v>
      </c>
      <c r="D33" s="31" t="s">
        <v>13</v>
      </c>
    </row>
    <row r="34" spans="1:17" x14ac:dyDescent="0.2">
      <c r="A34" s="11" t="s">
        <v>100</v>
      </c>
      <c r="B34" s="11"/>
      <c r="C34" s="3" t="s">
        <v>11</v>
      </c>
      <c r="D34" s="3" t="s">
        <v>136</v>
      </c>
    </row>
    <row r="37" spans="1:17" x14ac:dyDescent="0.2">
      <c r="A37" s="33" t="s">
        <v>14</v>
      </c>
      <c r="B37" s="33"/>
      <c r="C37" s="33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2">
      <c r="A38" s="30"/>
      <c r="B38" s="30"/>
      <c r="C38" s="29" t="s">
        <v>137</v>
      </c>
    </row>
    <row r="39" spans="1:17" x14ac:dyDescent="0.2">
      <c r="A39" s="31" t="s">
        <v>0</v>
      </c>
      <c r="B39" s="31"/>
      <c r="C39" s="31" t="s">
        <v>12</v>
      </c>
      <c r="D39" s="31" t="s">
        <v>13</v>
      </c>
    </row>
    <row r="40" spans="1:17" x14ac:dyDescent="0.2">
      <c r="A40" s="11" t="s">
        <v>106</v>
      </c>
      <c r="B40" s="11"/>
      <c r="C40" s="3" t="s">
        <v>138</v>
      </c>
      <c r="D40" s="3" t="s">
        <v>139</v>
      </c>
    </row>
    <row r="42" spans="1:17" x14ac:dyDescent="0.2">
      <c r="A42" s="30"/>
      <c r="B42" s="30"/>
      <c r="C42" s="29" t="s">
        <v>11</v>
      </c>
    </row>
    <row r="43" spans="1:17" x14ac:dyDescent="0.2">
      <c r="A43" s="31" t="s">
        <v>0</v>
      </c>
      <c r="B43" s="31"/>
      <c r="C43" s="31" t="s">
        <v>12</v>
      </c>
      <c r="D43" s="31" t="s">
        <v>13</v>
      </c>
    </row>
    <row r="44" spans="1:17" x14ac:dyDescent="0.2">
      <c r="A44" s="11" t="s">
        <v>52</v>
      </c>
      <c r="B44" s="11"/>
      <c r="C44" s="3" t="s">
        <v>11</v>
      </c>
      <c r="D44" s="3" t="s">
        <v>95</v>
      </c>
    </row>
    <row r="46" spans="1:17" x14ac:dyDescent="0.2">
      <c r="A46" s="30"/>
      <c r="B46" s="30"/>
      <c r="C46" s="29" t="s">
        <v>15</v>
      </c>
    </row>
    <row r="47" spans="1:17" x14ac:dyDescent="0.2">
      <c r="A47" s="31" t="s">
        <v>0</v>
      </c>
      <c r="B47" s="31"/>
      <c r="C47" s="31" t="s">
        <v>12</v>
      </c>
      <c r="D47" s="31" t="s">
        <v>13</v>
      </c>
    </row>
    <row r="48" spans="1:17" x14ac:dyDescent="0.2">
      <c r="A48" s="11" t="s">
        <v>124</v>
      </c>
      <c r="B48" s="11"/>
      <c r="C48" s="3" t="s">
        <v>140</v>
      </c>
      <c r="D48" s="3" t="s">
        <v>136</v>
      </c>
    </row>
    <row r="49" spans="1:4" x14ac:dyDescent="0.2">
      <c r="A49" s="11" t="s">
        <v>112</v>
      </c>
      <c r="B49" s="11"/>
      <c r="C49" s="3" t="s">
        <v>38</v>
      </c>
      <c r="D49" s="3" t="s">
        <v>141</v>
      </c>
    </row>
    <row r="50" spans="1:4" x14ac:dyDescent="0.2">
      <c r="A50" s="11" t="s">
        <v>130</v>
      </c>
      <c r="B50" s="11"/>
      <c r="C50" s="3" t="s">
        <v>97</v>
      </c>
      <c r="D50" s="3" t="s">
        <v>17</v>
      </c>
    </row>
    <row r="51" spans="1:4" x14ac:dyDescent="0.2">
      <c r="A51" s="11" t="s">
        <v>120</v>
      </c>
      <c r="B51" s="11"/>
      <c r="C51" s="3" t="s">
        <v>97</v>
      </c>
      <c r="D51" s="3" t="s">
        <v>136</v>
      </c>
    </row>
  </sheetData>
  <mergeCells count="3">
    <mergeCell ref="F1:H1"/>
    <mergeCell ref="J1:L1"/>
    <mergeCell ref="N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86"/>
  <sheetViews>
    <sheetView topLeftCell="A16" workbookViewId="0">
      <selection activeCell="D37" sqref="D37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7.85546875" style="2" bestFit="1" customWidth="1"/>
    <col min="6" max="9" width="5.5703125" style="3" customWidth="1"/>
    <col min="10" max="10" width="5.7109375" style="7" bestFit="1" customWidth="1"/>
    <col min="11" max="11" width="8.5703125" style="8" bestFit="1" customWidth="1"/>
    <col min="12" max="12" width="14.710937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142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14" t="s">
        <v>144</v>
      </c>
      <c r="B4" s="14" t="s">
        <v>752</v>
      </c>
      <c r="C4" s="12" t="s">
        <v>145</v>
      </c>
      <c r="D4" s="12" t="s">
        <v>146</v>
      </c>
      <c r="E4" s="39" t="s">
        <v>768</v>
      </c>
      <c r="F4" s="40" t="s">
        <v>21</v>
      </c>
      <c r="G4" s="12" t="s">
        <v>21</v>
      </c>
      <c r="H4" s="15" t="s">
        <v>31</v>
      </c>
      <c r="I4" s="15"/>
      <c r="J4" s="16" t="str">
        <f>"110,0"</f>
        <v>110,0</v>
      </c>
      <c r="K4" s="17" t="str">
        <f>"111,1770"</f>
        <v>111,1770</v>
      </c>
      <c r="L4" s="14"/>
    </row>
    <row r="5" spans="1:20" s="3" customFormat="1" x14ac:dyDescent="0.2">
      <c r="A5" s="18" t="s">
        <v>148</v>
      </c>
      <c r="B5" s="18" t="s">
        <v>752</v>
      </c>
      <c r="C5" s="13" t="s">
        <v>149</v>
      </c>
      <c r="D5" s="13" t="s">
        <v>150</v>
      </c>
      <c r="E5" s="18" t="s">
        <v>766</v>
      </c>
      <c r="F5" s="13" t="s">
        <v>151</v>
      </c>
      <c r="G5" s="13" t="s">
        <v>152</v>
      </c>
      <c r="H5" s="19" t="s">
        <v>153</v>
      </c>
      <c r="I5" s="19"/>
      <c r="J5" s="20" t="str">
        <f>"52,5"</f>
        <v>52,5</v>
      </c>
      <c r="K5" s="21" t="str">
        <f>"52,4134"</f>
        <v>52,4134</v>
      </c>
      <c r="L5" s="18"/>
    </row>
    <row r="7" spans="1:20" x14ac:dyDescent="0.2">
      <c r="A7" s="29" t="s">
        <v>154</v>
      </c>
      <c r="B7" s="29"/>
      <c r="C7" s="32"/>
      <c r="D7" s="32"/>
      <c r="E7" s="32"/>
      <c r="F7" s="32"/>
      <c r="G7" s="32"/>
      <c r="H7" s="32"/>
      <c r="I7" s="32"/>
    </row>
    <row r="8" spans="1:20" x14ac:dyDescent="0.2">
      <c r="A8" s="4" t="s">
        <v>156</v>
      </c>
      <c r="B8" s="4" t="s">
        <v>752</v>
      </c>
      <c r="C8" s="5" t="s">
        <v>157</v>
      </c>
      <c r="D8" s="5" t="s">
        <v>158</v>
      </c>
      <c r="E8" s="4" t="s">
        <v>770</v>
      </c>
      <c r="F8" s="5" t="s">
        <v>159</v>
      </c>
      <c r="G8" s="5" t="s">
        <v>45</v>
      </c>
      <c r="H8" s="6" t="s">
        <v>151</v>
      </c>
      <c r="I8" s="6"/>
      <c r="J8" s="9" t="str">
        <f>"45,0"</f>
        <v>45,0</v>
      </c>
      <c r="K8" s="10" t="str">
        <f>"78,7449"</f>
        <v>78,7449</v>
      </c>
      <c r="L8" s="4" t="s">
        <v>160</v>
      </c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29" t="s">
        <v>51</v>
      </c>
      <c r="B10" s="29"/>
      <c r="C10" s="32"/>
      <c r="D10" s="32"/>
      <c r="E10" s="32"/>
      <c r="F10" s="32"/>
      <c r="G10" s="32"/>
      <c r="H10" s="32"/>
      <c r="I10" s="32"/>
    </row>
    <row r="11" spans="1:20" x14ac:dyDescent="0.2">
      <c r="A11" s="4" t="s">
        <v>162</v>
      </c>
      <c r="B11" s="4" t="s">
        <v>752</v>
      </c>
      <c r="C11" s="5" t="s">
        <v>163</v>
      </c>
      <c r="D11" s="5" t="s">
        <v>164</v>
      </c>
      <c r="E11" s="4" t="s">
        <v>756</v>
      </c>
      <c r="F11" s="5" t="s">
        <v>45</v>
      </c>
      <c r="G11" s="6" t="s">
        <v>165</v>
      </c>
      <c r="H11" s="5" t="s">
        <v>152</v>
      </c>
      <c r="I11" s="6"/>
      <c r="J11" s="9" t="str">
        <f>"52,5"</f>
        <v>52,5</v>
      </c>
      <c r="K11" s="10" t="str">
        <f>"56,9941"</f>
        <v>56,9941</v>
      </c>
      <c r="L11" s="4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3" spans="1:20" x14ac:dyDescent="0.2">
      <c r="A13" s="29" t="s">
        <v>166</v>
      </c>
      <c r="B13" s="29"/>
      <c r="C13" s="32"/>
      <c r="D13" s="32"/>
      <c r="E13" s="32"/>
      <c r="F13" s="32"/>
      <c r="G13" s="32"/>
      <c r="H13" s="32"/>
      <c r="I13" s="32"/>
    </row>
    <row r="14" spans="1:20" x14ac:dyDescent="0.2">
      <c r="A14" s="4" t="s">
        <v>168</v>
      </c>
      <c r="B14" s="4" t="s">
        <v>753</v>
      </c>
      <c r="C14" s="5" t="s">
        <v>169</v>
      </c>
      <c r="D14" s="5" t="s">
        <v>170</v>
      </c>
      <c r="E14" s="4" t="s">
        <v>766</v>
      </c>
      <c r="F14" s="6" t="s">
        <v>171</v>
      </c>
      <c r="G14" s="5" t="s">
        <v>159</v>
      </c>
      <c r="H14" s="6" t="s">
        <v>45</v>
      </c>
      <c r="I14" s="6"/>
      <c r="J14" s="9" t="str">
        <f>"40,0"</f>
        <v>40,0</v>
      </c>
      <c r="K14" s="10" t="str">
        <f>"39,5880"</f>
        <v>39,5880</v>
      </c>
      <c r="L14" s="4"/>
    </row>
    <row r="15" spans="1:20" x14ac:dyDescent="0.2">
      <c r="A15" s="35"/>
      <c r="B15" s="4" t="s">
        <v>753</v>
      </c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29" t="s">
        <v>105</v>
      </c>
      <c r="B16" s="4" t="s">
        <v>753</v>
      </c>
      <c r="C16" s="32"/>
      <c r="D16" s="32"/>
      <c r="E16" s="32"/>
      <c r="F16" s="32"/>
      <c r="G16" s="32"/>
      <c r="H16" s="32"/>
      <c r="I16" s="32"/>
    </row>
    <row r="17" spans="1:17" x14ac:dyDescent="0.2">
      <c r="A17" s="4" t="s">
        <v>172</v>
      </c>
      <c r="B17" s="4" t="s">
        <v>753</v>
      </c>
      <c r="C17" s="5" t="s">
        <v>173</v>
      </c>
      <c r="D17" s="5" t="s">
        <v>174</v>
      </c>
      <c r="E17" s="4" t="s">
        <v>771</v>
      </c>
      <c r="F17" s="6" t="s">
        <v>165</v>
      </c>
      <c r="G17" s="6"/>
      <c r="H17" s="6"/>
      <c r="I17" s="6"/>
      <c r="J17" s="9" t="str">
        <f>"0.00"</f>
        <v>0.00</v>
      </c>
      <c r="K17" s="10" t="str">
        <f>"0,0000"</f>
        <v>0,0000</v>
      </c>
      <c r="L17" s="4"/>
    </row>
    <row r="18" spans="1:17" x14ac:dyDescent="0.2">
      <c r="A18" s="35"/>
      <c r="B18" s="4" t="s">
        <v>753</v>
      </c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29" t="s">
        <v>111</v>
      </c>
      <c r="B19" s="4" t="s">
        <v>753</v>
      </c>
      <c r="C19" s="32"/>
      <c r="D19" s="32"/>
      <c r="E19" s="32"/>
      <c r="F19" s="32"/>
      <c r="G19" s="32"/>
      <c r="H19" s="32"/>
      <c r="I19" s="32"/>
    </row>
    <row r="20" spans="1:17" x14ac:dyDescent="0.2">
      <c r="A20" s="14" t="s">
        <v>176</v>
      </c>
      <c r="B20" s="4" t="s">
        <v>753</v>
      </c>
      <c r="C20" s="12" t="s">
        <v>177</v>
      </c>
      <c r="D20" s="12" t="s">
        <v>178</v>
      </c>
      <c r="E20" s="14" t="s">
        <v>791</v>
      </c>
      <c r="F20" s="12" t="s">
        <v>23</v>
      </c>
      <c r="G20" s="12" t="s">
        <v>179</v>
      </c>
      <c r="H20" s="15" t="s">
        <v>180</v>
      </c>
      <c r="I20" s="15"/>
      <c r="J20" s="16" t="str">
        <f>"177,5"</f>
        <v>177,5</v>
      </c>
      <c r="K20" s="17" t="str">
        <f>"122,9454"</f>
        <v>122,9454</v>
      </c>
      <c r="L20" s="14"/>
    </row>
    <row r="21" spans="1:17" x14ac:dyDescent="0.2">
      <c r="A21" s="44" t="s">
        <v>176</v>
      </c>
      <c r="B21" s="4" t="s">
        <v>753</v>
      </c>
      <c r="C21" s="44" t="s">
        <v>181</v>
      </c>
      <c r="D21" s="44" t="s">
        <v>178</v>
      </c>
      <c r="E21" s="44" t="s">
        <v>791</v>
      </c>
      <c r="F21" s="44" t="s">
        <v>23</v>
      </c>
      <c r="G21" s="44" t="s">
        <v>179</v>
      </c>
      <c r="H21" s="45" t="s">
        <v>180</v>
      </c>
      <c r="I21" s="45"/>
      <c r="J21" s="46" t="str">
        <f>"177,5"</f>
        <v>177,5</v>
      </c>
      <c r="K21" s="46" t="str">
        <f>"124,1748"</f>
        <v>124,1748</v>
      </c>
      <c r="L21" s="44"/>
      <c r="M21" s="37"/>
      <c r="N21" s="37"/>
      <c r="O21" s="37"/>
      <c r="P21" s="37"/>
      <c r="Q21" s="37"/>
    </row>
    <row r="22" spans="1:17" x14ac:dyDescent="0.2">
      <c r="B22" s="4" t="s">
        <v>753</v>
      </c>
    </row>
    <row r="23" spans="1:17" x14ac:dyDescent="0.2">
      <c r="A23" s="29" t="s">
        <v>51</v>
      </c>
      <c r="B23" s="4" t="s">
        <v>753</v>
      </c>
      <c r="C23" s="32"/>
      <c r="D23" s="32"/>
      <c r="E23" s="32"/>
      <c r="F23" s="32"/>
      <c r="G23" s="32"/>
      <c r="H23" s="32"/>
      <c r="I23" s="32"/>
    </row>
    <row r="24" spans="1:17" x14ac:dyDescent="0.2">
      <c r="A24" s="4" t="s">
        <v>183</v>
      </c>
      <c r="B24" s="4" t="s">
        <v>753</v>
      </c>
      <c r="C24" s="5" t="s">
        <v>184</v>
      </c>
      <c r="D24" s="5" t="s">
        <v>185</v>
      </c>
      <c r="E24" s="4" t="s">
        <v>764</v>
      </c>
      <c r="F24" s="5" t="s">
        <v>186</v>
      </c>
      <c r="G24" s="5" t="s">
        <v>36</v>
      </c>
      <c r="H24" s="6"/>
      <c r="I24" s="6"/>
      <c r="J24" s="9" t="str">
        <f>"160,0"</f>
        <v>160,0</v>
      </c>
      <c r="K24" s="10" t="str">
        <f>"105,0720"</f>
        <v>105,0720</v>
      </c>
      <c r="L24" s="4"/>
    </row>
    <row r="25" spans="1:17" x14ac:dyDescent="0.2">
      <c r="B25" s="4" t="s">
        <v>753</v>
      </c>
    </row>
    <row r="26" spans="1:17" x14ac:dyDescent="0.2">
      <c r="A26" s="33" t="s">
        <v>99</v>
      </c>
      <c r="B26" s="4" t="s">
        <v>753</v>
      </c>
      <c r="C26" s="34"/>
      <c r="D26" s="34"/>
      <c r="E26" s="34"/>
      <c r="F26" s="34"/>
      <c r="G26" s="34"/>
      <c r="H26" s="34"/>
      <c r="I26" s="34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4" t="s">
        <v>188</v>
      </c>
      <c r="B27" s="4" t="s">
        <v>753</v>
      </c>
      <c r="C27" s="5" t="s">
        <v>189</v>
      </c>
      <c r="D27" s="5" t="s">
        <v>190</v>
      </c>
      <c r="E27" s="4" t="s">
        <v>754</v>
      </c>
      <c r="F27" s="5" t="s">
        <v>22</v>
      </c>
      <c r="G27" s="6" t="s">
        <v>191</v>
      </c>
      <c r="H27" s="6" t="s">
        <v>23</v>
      </c>
      <c r="I27" s="6"/>
      <c r="J27" s="9" t="str">
        <f>"165,0"</f>
        <v>165,0</v>
      </c>
      <c r="K27" s="10" t="str">
        <f>"102,1102"</f>
        <v>102,1102</v>
      </c>
      <c r="L27" s="4"/>
    </row>
    <row r="28" spans="1:17" x14ac:dyDescent="0.2">
      <c r="B28" s="4" t="s">
        <v>753</v>
      </c>
    </row>
    <row r="29" spans="1:17" x14ac:dyDescent="0.2">
      <c r="A29" s="29" t="s">
        <v>4</v>
      </c>
      <c r="B29" s="4" t="s">
        <v>753</v>
      </c>
      <c r="C29" s="32"/>
      <c r="D29" s="32"/>
      <c r="E29" s="32"/>
      <c r="F29" s="32"/>
      <c r="G29" s="32"/>
      <c r="H29" s="32"/>
      <c r="I29" s="32"/>
    </row>
    <row r="30" spans="1:17" x14ac:dyDescent="0.2">
      <c r="A30" s="39" t="s">
        <v>193</v>
      </c>
      <c r="B30" s="4" t="s">
        <v>753</v>
      </c>
      <c r="C30" s="39" t="s">
        <v>194</v>
      </c>
      <c r="D30" s="39" t="s">
        <v>195</v>
      </c>
      <c r="E30" s="39" t="s">
        <v>781</v>
      </c>
      <c r="F30" s="39" t="s">
        <v>24</v>
      </c>
      <c r="G30" s="39" t="s">
        <v>25</v>
      </c>
      <c r="H30" s="39" t="s">
        <v>119</v>
      </c>
      <c r="I30" s="40"/>
      <c r="J30" s="41" t="str">
        <f>"185,0"</f>
        <v>185,0</v>
      </c>
      <c r="K30" s="41" t="str">
        <f>"108,2897"</f>
        <v>108,2897</v>
      </c>
      <c r="L30" s="39"/>
      <c r="M30" s="37"/>
      <c r="N30" s="37"/>
      <c r="O30" s="37"/>
      <c r="P30" s="37"/>
      <c r="Q30" s="37"/>
    </row>
    <row r="31" spans="1:17" x14ac:dyDescent="0.2">
      <c r="A31" s="23" t="s">
        <v>197</v>
      </c>
      <c r="B31" s="4" t="s">
        <v>753</v>
      </c>
      <c r="C31" s="22" t="s">
        <v>198</v>
      </c>
      <c r="D31" s="22" t="s">
        <v>199</v>
      </c>
      <c r="E31" s="23" t="s">
        <v>764</v>
      </c>
      <c r="F31" s="24" t="s">
        <v>22</v>
      </c>
      <c r="G31" s="24" t="s">
        <v>22</v>
      </c>
      <c r="H31" s="22" t="s">
        <v>22</v>
      </c>
      <c r="I31" s="24"/>
      <c r="J31" s="25" t="str">
        <f>"165,0"</f>
        <v>165,0</v>
      </c>
      <c r="K31" s="26" t="str">
        <f>"100,4108"</f>
        <v>100,4108</v>
      </c>
      <c r="L31" s="23"/>
    </row>
    <row r="32" spans="1:17" x14ac:dyDescent="0.2">
      <c r="A32" s="23" t="s">
        <v>193</v>
      </c>
      <c r="B32" s="4" t="s">
        <v>753</v>
      </c>
      <c r="C32" s="22" t="s">
        <v>200</v>
      </c>
      <c r="D32" s="22" t="s">
        <v>195</v>
      </c>
      <c r="E32" s="23" t="s">
        <v>781</v>
      </c>
      <c r="F32" s="22" t="s">
        <v>24</v>
      </c>
      <c r="G32" s="22" t="s">
        <v>25</v>
      </c>
      <c r="H32" s="22" t="s">
        <v>119</v>
      </c>
      <c r="I32" s="24"/>
      <c r="J32" s="25" t="str">
        <f>"185,0"</f>
        <v>185,0</v>
      </c>
      <c r="K32" s="26" t="str">
        <f>"109,3726"</f>
        <v>109,3726</v>
      </c>
      <c r="L32" s="23"/>
    </row>
    <row r="33" spans="1:17" x14ac:dyDescent="0.2">
      <c r="A33" s="18" t="s">
        <v>201</v>
      </c>
      <c r="B33" s="4" t="s">
        <v>753</v>
      </c>
      <c r="C33" s="13" t="s">
        <v>202</v>
      </c>
      <c r="D33" s="13" t="s">
        <v>203</v>
      </c>
      <c r="E33" s="18" t="s">
        <v>770</v>
      </c>
      <c r="F33" s="13" t="s">
        <v>25</v>
      </c>
      <c r="G33" s="13" t="s">
        <v>59</v>
      </c>
      <c r="H33" s="13" t="s">
        <v>60</v>
      </c>
      <c r="I33" s="19" t="s">
        <v>204</v>
      </c>
      <c r="J33" s="20" t="str">
        <f>"200,0"</f>
        <v>200,0</v>
      </c>
      <c r="K33" s="21" t="str">
        <f>"161,3246"</f>
        <v>161,3246</v>
      </c>
      <c r="L33" s="18"/>
    </row>
    <row r="34" spans="1:17" x14ac:dyDescent="0.2">
      <c r="B34" s="4" t="s">
        <v>753</v>
      </c>
    </row>
    <row r="35" spans="1:17" x14ac:dyDescent="0.2">
      <c r="A35" s="29" t="s">
        <v>70</v>
      </c>
      <c r="B35" s="4" t="s">
        <v>753</v>
      </c>
      <c r="C35" s="32"/>
      <c r="D35" s="32"/>
      <c r="E35" s="32"/>
      <c r="F35" s="32"/>
      <c r="G35" s="32"/>
      <c r="H35" s="32"/>
      <c r="I35" s="32"/>
    </row>
    <row r="36" spans="1:17" x14ac:dyDescent="0.2">
      <c r="A36" s="4" t="s">
        <v>206</v>
      </c>
      <c r="B36" s="4" t="s">
        <v>753</v>
      </c>
      <c r="C36" s="5" t="s">
        <v>207</v>
      </c>
      <c r="D36" s="5" t="s">
        <v>208</v>
      </c>
      <c r="E36" s="4" t="s">
        <v>754</v>
      </c>
      <c r="F36" s="5" t="s">
        <v>34</v>
      </c>
      <c r="G36" s="6" t="s">
        <v>209</v>
      </c>
      <c r="H36" s="5" t="s">
        <v>209</v>
      </c>
      <c r="I36" s="6"/>
      <c r="J36" s="9" t="str">
        <f>"172,5"</f>
        <v>172,5</v>
      </c>
      <c r="K36" s="10" t="str">
        <f>"107,3516"</f>
        <v>107,3516</v>
      </c>
      <c r="L36" s="4"/>
    </row>
    <row r="37" spans="1:17" x14ac:dyDescent="0.2">
      <c r="A37" s="35"/>
      <c r="B37" s="4" t="s">
        <v>753</v>
      </c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  <row r="38" spans="1:17" x14ac:dyDescent="0.2">
      <c r="A38" s="29" t="s">
        <v>26</v>
      </c>
      <c r="B38" s="4" t="s">
        <v>753</v>
      </c>
      <c r="C38" s="32"/>
      <c r="D38" s="32"/>
      <c r="E38" s="32"/>
      <c r="F38" s="32"/>
      <c r="G38" s="32"/>
      <c r="H38" s="32"/>
      <c r="I38" s="32"/>
    </row>
    <row r="39" spans="1:17" x14ac:dyDescent="0.2">
      <c r="A39" s="14" t="s">
        <v>211</v>
      </c>
      <c r="B39" s="4" t="s">
        <v>753</v>
      </c>
      <c r="C39" s="12" t="s">
        <v>212</v>
      </c>
      <c r="D39" s="12" t="s">
        <v>213</v>
      </c>
      <c r="E39" s="14" t="s">
        <v>770</v>
      </c>
      <c r="F39" s="15" t="s">
        <v>22</v>
      </c>
      <c r="G39" s="15" t="s">
        <v>23</v>
      </c>
      <c r="H39" s="12" t="s">
        <v>23</v>
      </c>
      <c r="I39" s="15"/>
      <c r="J39" s="16" t="str">
        <f>"170,0"</f>
        <v>170,0</v>
      </c>
      <c r="K39" s="17" t="str">
        <f>"108,7264"</f>
        <v>108,7264</v>
      </c>
      <c r="L39" s="14"/>
    </row>
    <row r="40" spans="1:17" x14ac:dyDescent="0.2">
      <c r="A40" s="18" t="s">
        <v>215</v>
      </c>
      <c r="B40" s="4" t="s">
        <v>753</v>
      </c>
      <c r="C40" s="13" t="s">
        <v>216</v>
      </c>
      <c r="D40" s="13" t="s">
        <v>217</v>
      </c>
      <c r="E40" s="18" t="s">
        <v>792</v>
      </c>
      <c r="F40" s="19" t="s">
        <v>218</v>
      </c>
      <c r="G40" s="19"/>
      <c r="H40" s="19"/>
      <c r="I40" s="19"/>
      <c r="J40" s="20" t="str">
        <f>"0.00"</f>
        <v>0.00</v>
      </c>
      <c r="K40" s="21" t="str">
        <f>"0,0000"</f>
        <v>0,0000</v>
      </c>
      <c r="L40" s="18"/>
    </row>
    <row r="41" spans="1:17" x14ac:dyDescent="0.2">
      <c r="B41" s="4" t="s">
        <v>753</v>
      </c>
    </row>
    <row r="42" spans="1:17" x14ac:dyDescent="0.2">
      <c r="A42" s="29" t="s">
        <v>219</v>
      </c>
      <c r="B42" s="4" t="s">
        <v>753</v>
      </c>
      <c r="C42" s="32"/>
      <c r="D42" s="32"/>
      <c r="E42" s="32"/>
      <c r="F42" s="32"/>
      <c r="G42" s="32"/>
      <c r="H42" s="32"/>
      <c r="I42" s="32"/>
    </row>
    <row r="43" spans="1:17" x14ac:dyDescent="0.2">
      <c r="A43" s="4" t="s">
        <v>6</v>
      </c>
      <c r="B43" s="4" t="s">
        <v>753</v>
      </c>
      <c r="C43" s="5" t="s">
        <v>7</v>
      </c>
      <c r="D43" s="5" t="s">
        <v>8</v>
      </c>
      <c r="E43" s="4" t="s">
        <v>763</v>
      </c>
      <c r="F43" s="5" t="s">
        <v>32</v>
      </c>
      <c r="G43" s="5" t="s">
        <v>33</v>
      </c>
      <c r="H43" s="5" t="s">
        <v>186</v>
      </c>
      <c r="I43" s="6"/>
      <c r="J43" s="9" t="str">
        <f>"152,5"</f>
        <v>152,5</v>
      </c>
      <c r="K43" s="10" t="str">
        <f>"80,6954"</f>
        <v>80,6954</v>
      </c>
      <c r="L43" s="4"/>
    </row>
    <row r="53" spans="1:4" x14ac:dyDescent="0.2">
      <c r="A53" s="2" t="s">
        <v>9</v>
      </c>
    </row>
    <row r="54" spans="1:4" x14ac:dyDescent="0.2">
      <c r="A54" s="28" t="s">
        <v>10</v>
      </c>
      <c r="B54" s="28"/>
      <c r="C54" s="29"/>
    </row>
    <row r="55" spans="1:4" x14ac:dyDescent="0.2">
      <c r="A55" s="30"/>
      <c r="B55" s="30"/>
      <c r="C55" s="29" t="s">
        <v>11</v>
      </c>
    </row>
    <row r="56" spans="1:4" x14ac:dyDescent="0.2">
      <c r="A56" s="31" t="s">
        <v>0</v>
      </c>
      <c r="B56" s="31"/>
      <c r="C56" s="31" t="s">
        <v>12</v>
      </c>
      <c r="D56" s="31" t="s">
        <v>13</v>
      </c>
    </row>
    <row r="57" spans="1:4" x14ac:dyDescent="0.2">
      <c r="A57" s="11" t="s">
        <v>143</v>
      </c>
      <c r="B57" s="11"/>
      <c r="C57" s="3" t="s">
        <v>11</v>
      </c>
      <c r="D57" s="3" t="s">
        <v>220</v>
      </c>
    </row>
    <row r="58" spans="1:4" x14ac:dyDescent="0.2">
      <c r="A58" s="11" t="s">
        <v>147</v>
      </c>
      <c r="B58" s="11"/>
      <c r="C58" s="3" t="s">
        <v>11</v>
      </c>
      <c r="D58" s="3" t="s">
        <v>220</v>
      </c>
    </row>
    <row r="60" spans="1:4" x14ac:dyDescent="0.2">
      <c r="A60" s="30"/>
      <c r="B60" s="30"/>
      <c r="C60" s="29" t="s">
        <v>15</v>
      </c>
    </row>
    <row r="61" spans="1:4" x14ac:dyDescent="0.2">
      <c r="A61" s="31" t="s">
        <v>0</v>
      </c>
      <c r="B61" s="31"/>
      <c r="C61" s="31" t="s">
        <v>12</v>
      </c>
      <c r="D61" s="31" t="s">
        <v>13</v>
      </c>
    </row>
    <row r="62" spans="1:4" x14ac:dyDescent="0.2">
      <c r="A62" s="11" t="s">
        <v>155</v>
      </c>
      <c r="B62" s="11"/>
      <c r="C62" s="3" t="s">
        <v>221</v>
      </c>
      <c r="D62" s="3" t="s">
        <v>222</v>
      </c>
    </row>
    <row r="63" spans="1:4" x14ac:dyDescent="0.2">
      <c r="A63" s="11" t="s">
        <v>161</v>
      </c>
      <c r="B63" s="11"/>
      <c r="C63" s="3" t="s">
        <v>223</v>
      </c>
      <c r="D63" s="3" t="s">
        <v>95</v>
      </c>
    </row>
    <row r="66" spans="1:4" x14ac:dyDescent="0.2">
      <c r="A66" s="28" t="s">
        <v>14</v>
      </c>
      <c r="B66" s="28"/>
      <c r="C66" s="29"/>
    </row>
    <row r="67" spans="1:4" x14ac:dyDescent="0.2">
      <c r="A67" s="30"/>
      <c r="B67" s="30"/>
      <c r="C67" s="29" t="s">
        <v>93</v>
      </c>
    </row>
    <row r="68" spans="1:4" x14ac:dyDescent="0.2">
      <c r="A68" s="31" t="s">
        <v>0</v>
      </c>
      <c r="B68" s="31"/>
      <c r="C68" s="31" t="s">
        <v>12</v>
      </c>
      <c r="D68" s="31" t="s">
        <v>13</v>
      </c>
    </row>
    <row r="69" spans="1:4" x14ac:dyDescent="0.2">
      <c r="A69" s="11" t="s">
        <v>167</v>
      </c>
      <c r="B69" s="11"/>
      <c r="C69" s="3" t="s">
        <v>224</v>
      </c>
      <c r="D69" s="3" t="s">
        <v>225</v>
      </c>
    </row>
    <row r="71" spans="1:4" x14ac:dyDescent="0.2">
      <c r="A71" s="30"/>
      <c r="B71" s="30"/>
      <c r="C71" s="29" t="s">
        <v>11</v>
      </c>
    </row>
    <row r="72" spans="1:4" x14ac:dyDescent="0.2">
      <c r="A72" s="31" t="s">
        <v>0</v>
      </c>
      <c r="B72" s="31"/>
      <c r="C72" s="31" t="s">
        <v>12</v>
      </c>
      <c r="D72" s="31" t="s">
        <v>13</v>
      </c>
    </row>
    <row r="73" spans="1:4" x14ac:dyDescent="0.2">
      <c r="A73" s="11" t="s">
        <v>175</v>
      </c>
      <c r="B73" s="11"/>
      <c r="C73" s="3" t="s">
        <v>11</v>
      </c>
      <c r="D73" s="3" t="s">
        <v>141</v>
      </c>
    </row>
    <row r="74" spans="1:4" x14ac:dyDescent="0.2">
      <c r="A74" s="11" t="s">
        <v>192</v>
      </c>
      <c r="B74" s="11"/>
      <c r="C74" s="3" t="s">
        <v>11</v>
      </c>
      <c r="D74" s="3" t="s">
        <v>17</v>
      </c>
    </row>
    <row r="75" spans="1:4" x14ac:dyDescent="0.2">
      <c r="A75" s="11" t="s">
        <v>182</v>
      </c>
      <c r="B75" s="11"/>
      <c r="C75" s="3" t="s">
        <v>11</v>
      </c>
      <c r="D75" s="3" t="s">
        <v>95</v>
      </c>
    </row>
    <row r="76" spans="1:4" x14ac:dyDescent="0.2">
      <c r="A76" s="11" t="s">
        <v>187</v>
      </c>
      <c r="B76" s="11"/>
      <c r="C76" s="3" t="s">
        <v>11</v>
      </c>
      <c r="D76" s="3" t="s">
        <v>136</v>
      </c>
    </row>
    <row r="77" spans="1:4" x14ac:dyDescent="0.2">
      <c r="A77" s="11" t="s">
        <v>196</v>
      </c>
      <c r="B77" s="11"/>
      <c r="C77" s="3" t="s">
        <v>11</v>
      </c>
      <c r="D77" s="3" t="s">
        <v>17</v>
      </c>
    </row>
    <row r="78" spans="1:4" x14ac:dyDescent="0.2">
      <c r="A78" s="11" t="s">
        <v>5</v>
      </c>
      <c r="B78" s="11"/>
      <c r="C78" s="3" t="s">
        <v>11</v>
      </c>
      <c r="D78" s="3" t="s">
        <v>226</v>
      </c>
    </row>
    <row r="80" spans="1:4" x14ac:dyDescent="0.2">
      <c r="A80" s="30"/>
      <c r="B80" s="30"/>
      <c r="C80" s="29" t="s">
        <v>15</v>
      </c>
    </row>
    <row r="81" spans="1:4" x14ac:dyDescent="0.2">
      <c r="A81" s="31" t="s">
        <v>0</v>
      </c>
      <c r="B81" s="31"/>
      <c r="C81" s="31" t="s">
        <v>12</v>
      </c>
      <c r="D81" s="31" t="s">
        <v>13</v>
      </c>
    </row>
    <row r="82" spans="1:4" x14ac:dyDescent="0.2">
      <c r="A82" s="11" t="s">
        <v>160</v>
      </c>
      <c r="B82" s="11"/>
      <c r="C82" s="3" t="s">
        <v>223</v>
      </c>
      <c r="D82" s="3" t="s">
        <v>17</v>
      </c>
    </row>
    <row r="83" spans="1:4" x14ac:dyDescent="0.2">
      <c r="A83" s="11" t="s">
        <v>175</v>
      </c>
      <c r="B83" s="11"/>
      <c r="C83" s="3" t="s">
        <v>97</v>
      </c>
      <c r="D83" s="3" t="s">
        <v>141</v>
      </c>
    </row>
    <row r="84" spans="1:4" x14ac:dyDescent="0.2">
      <c r="A84" s="11" t="s">
        <v>192</v>
      </c>
      <c r="B84" s="11"/>
      <c r="C84" s="3" t="s">
        <v>97</v>
      </c>
      <c r="D84" s="3" t="s">
        <v>17</v>
      </c>
    </row>
    <row r="85" spans="1:4" x14ac:dyDescent="0.2">
      <c r="A85" s="11" t="s">
        <v>210</v>
      </c>
      <c r="B85" s="11"/>
      <c r="C85" s="3" t="s">
        <v>16</v>
      </c>
      <c r="D85" s="3" t="s">
        <v>37</v>
      </c>
    </row>
    <row r="86" spans="1:4" x14ac:dyDescent="0.2">
      <c r="A86" s="11" t="s">
        <v>205</v>
      </c>
      <c r="B86" s="11"/>
      <c r="C86" s="3" t="s">
        <v>98</v>
      </c>
      <c r="D86" s="3" t="s">
        <v>96</v>
      </c>
    </row>
  </sheetData>
  <mergeCells count="1">
    <mergeCell ref="F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7"/>
  <sheetViews>
    <sheetView workbookViewId="0">
      <selection activeCell="B10" sqref="B1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28515625" style="3" bestFit="1" customWidth="1"/>
    <col min="4" max="4" width="7.5703125" style="3" bestFit="1" customWidth="1"/>
    <col min="5" max="5" width="14.7109375" style="2" bestFit="1" customWidth="1"/>
    <col min="6" max="8" width="4.5703125" style="3" customWidth="1"/>
    <col min="9" max="9" width="4.7109375" style="3" customWidth="1"/>
    <col min="10" max="10" width="5.7109375" style="7" bestFit="1" customWidth="1"/>
    <col min="11" max="11" width="7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99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101</v>
      </c>
      <c r="B4" s="4" t="s">
        <v>752</v>
      </c>
      <c r="C4" s="5" t="s">
        <v>102</v>
      </c>
      <c r="D4" s="5" t="s">
        <v>103</v>
      </c>
      <c r="E4" s="42" t="s">
        <v>761</v>
      </c>
      <c r="F4" s="42" t="s">
        <v>47</v>
      </c>
      <c r="G4" s="5" t="s">
        <v>104</v>
      </c>
      <c r="H4" s="6" t="s">
        <v>49</v>
      </c>
      <c r="I4" s="6"/>
      <c r="J4" s="9" t="str">
        <f>"70,0"</f>
        <v>70,0</v>
      </c>
      <c r="K4" s="10" t="str">
        <f>"54,7330"</f>
        <v>54,7330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105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107</v>
      </c>
      <c r="B7" s="4" t="s">
        <v>753</v>
      </c>
      <c r="C7" s="5" t="s">
        <v>108</v>
      </c>
      <c r="D7" s="5" t="s">
        <v>109</v>
      </c>
      <c r="E7" s="4" t="s">
        <v>761</v>
      </c>
      <c r="F7" s="5" t="s">
        <v>48</v>
      </c>
      <c r="G7" s="5" t="s">
        <v>18</v>
      </c>
      <c r="H7" s="5" t="s">
        <v>50</v>
      </c>
      <c r="I7" s="6"/>
      <c r="J7" s="9" t="str">
        <f>"85,0"</f>
        <v>85,0</v>
      </c>
      <c r="K7" s="10" t="str">
        <f>"76,7252"</f>
        <v>76,7252</v>
      </c>
      <c r="L7" s="4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7" spans="1:17" x14ac:dyDescent="0.2">
      <c r="A17" s="2" t="s">
        <v>9</v>
      </c>
    </row>
    <row r="18" spans="1:17" x14ac:dyDescent="0.2">
      <c r="A18" s="33" t="s">
        <v>10</v>
      </c>
      <c r="B18" s="33"/>
      <c r="C18" s="33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30"/>
      <c r="B19" s="30"/>
      <c r="C19" s="29" t="s">
        <v>11</v>
      </c>
    </row>
    <row r="20" spans="1:17" x14ac:dyDescent="0.2">
      <c r="A20" s="31" t="s">
        <v>0</v>
      </c>
      <c r="B20" s="31"/>
      <c r="C20" s="31" t="s">
        <v>12</v>
      </c>
      <c r="D20" s="31" t="s">
        <v>13</v>
      </c>
    </row>
    <row r="21" spans="1:17" x14ac:dyDescent="0.2">
      <c r="A21" s="35" t="s">
        <v>100</v>
      </c>
      <c r="B21" s="35"/>
      <c r="C21" s="35" t="s">
        <v>11</v>
      </c>
      <c r="D21" s="35" t="s">
        <v>136</v>
      </c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4" spans="1:17" x14ac:dyDescent="0.2">
      <c r="A24" s="28" t="s">
        <v>14</v>
      </c>
      <c r="B24" s="28"/>
      <c r="C24" s="29"/>
    </row>
    <row r="25" spans="1:17" x14ac:dyDescent="0.2">
      <c r="A25" s="30"/>
      <c r="B25" s="30"/>
      <c r="C25" s="29" t="s">
        <v>137</v>
      </c>
    </row>
    <row r="26" spans="1:17" x14ac:dyDescent="0.2">
      <c r="A26" s="38" t="s">
        <v>0</v>
      </c>
      <c r="B26" s="38"/>
      <c r="C26" s="38" t="s">
        <v>12</v>
      </c>
      <c r="D26" s="38" t="s">
        <v>13</v>
      </c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11" t="s">
        <v>106</v>
      </c>
      <c r="B27" s="11"/>
      <c r="C27" s="3" t="s">
        <v>138</v>
      </c>
      <c r="D27" s="3" t="s">
        <v>139</v>
      </c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7"/>
  <sheetViews>
    <sheetView workbookViewId="0">
      <selection activeCell="E4" sqref="E4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99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228</v>
      </c>
      <c r="B4" s="4" t="s">
        <v>753</v>
      </c>
      <c r="C4" s="5" t="s">
        <v>229</v>
      </c>
      <c r="D4" s="5" t="s">
        <v>230</v>
      </c>
      <c r="E4" s="42" t="s">
        <v>793</v>
      </c>
      <c r="F4" s="42" t="s">
        <v>67</v>
      </c>
      <c r="G4" s="5" t="s">
        <v>231</v>
      </c>
      <c r="H4" s="6"/>
      <c r="I4" s="6"/>
      <c r="J4" s="9" t="str">
        <f>"260,0"</f>
        <v>260,0</v>
      </c>
      <c r="K4" s="10" t="str">
        <f>"175,0356"</f>
        <v>175,0356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4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233</v>
      </c>
      <c r="B7" s="4" t="s">
        <v>753</v>
      </c>
      <c r="C7" s="5" t="s">
        <v>234</v>
      </c>
      <c r="D7" s="5" t="s">
        <v>235</v>
      </c>
      <c r="E7" s="4" t="s">
        <v>793</v>
      </c>
      <c r="F7" s="6" t="s">
        <v>67</v>
      </c>
      <c r="G7" s="5" t="s">
        <v>67</v>
      </c>
      <c r="H7" s="6" t="s">
        <v>236</v>
      </c>
      <c r="I7" s="6"/>
      <c r="J7" s="9" t="str">
        <f>"250,0"</f>
        <v>250,0</v>
      </c>
      <c r="K7" s="10" t="str">
        <f>"152,4978"</f>
        <v>152,4978</v>
      </c>
      <c r="L7" s="4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7" spans="1:17" x14ac:dyDescent="0.2">
      <c r="A17" s="2" t="s">
        <v>9</v>
      </c>
    </row>
    <row r="18" spans="1:17" x14ac:dyDescent="0.2">
      <c r="A18" s="33" t="s">
        <v>14</v>
      </c>
      <c r="B18" s="33"/>
      <c r="C18" s="33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30"/>
      <c r="B19" s="30"/>
      <c r="C19" s="29" t="s">
        <v>15</v>
      </c>
    </row>
    <row r="20" spans="1:17" x14ac:dyDescent="0.2">
      <c r="A20" s="31" t="s">
        <v>0</v>
      </c>
      <c r="B20" s="31"/>
      <c r="C20" s="31" t="s">
        <v>12</v>
      </c>
      <c r="D20" s="31" t="s">
        <v>13</v>
      </c>
    </row>
    <row r="21" spans="1:17" x14ac:dyDescent="0.2">
      <c r="A21" s="35" t="s">
        <v>227</v>
      </c>
      <c r="B21" s="35"/>
      <c r="C21" s="35" t="s">
        <v>98</v>
      </c>
      <c r="D21" s="35" t="s">
        <v>136</v>
      </c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11" t="s">
        <v>232</v>
      </c>
      <c r="B22" s="11"/>
      <c r="C22" s="3" t="s">
        <v>97</v>
      </c>
      <c r="D22" s="3" t="s">
        <v>17</v>
      </c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7"/>
  <sheetViews>
    <sheetView workbookViewId="0">
      <selection activeCell="E10" sqref="E1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6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745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70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647</v>
      </c>
      <c r="B4" s="4" t="s">
        <v>753</v>
      </c>
      <c r="C4" s="5" t="s">
        <v>648</v>
      </c>
      <c r="D4" s="5" t="s">
        <v>649</v>
      </c>
      <c r="E4" s="42" t="s">
        <v>787</v>
      </c>
      <c r="F4" s="43" t="s">
        <v>84</v>
      </c>
      <c r="G4" s="5" t="s">
        <v>65</v>
      </c>
      <c r="H4" s="5" t="s">
        <v>650</v>
      </c>
      <c r="I4" s="6"/>
      <c r="J4" s="9" t="str">
        <f>"237,5"</f>
        <v>237,5</v>
      </c>
      <c r="K4" s="10" t="str">
        <f>"137,0138"</f>
        <v>137,0138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26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14" t="s">
        <v>651</v>
      </c>
      <c r="B7" s="14" t="s">
        <v>753</v>
      </c>
      <c r="C7" s="12" t="s">
        <v>652</v>
      </c>
      <c r="D7" s="12" t="s">
        <v>653</v>
      </c>
      <c r="E7" s="14" t="s">
        <v>768</v>
      </c>
      <c r="F7" s="12" t="s">
        <v>231</v>
      </c>
      <c r="G7" s="12" t="s">
        <v>134</v>
      </c>
      <c r="H7" s="12" t="s">
        <v>89</v>
      </c>
      <c r="I7" s="15"/>
      <c r="J7" s="16" t="str">
        <f>"300,0"</f>
        <v>300,0</v>
      </c>
      <c r="K7" s="17" t="str">
        <f>"167,2500"</f>
        <v>167,2500</v>
      </c>
      <c r="L7" s="14"/>
    </row>
    <row r="8" spans="1:20" x14ac:dyDescent="0.2">
      <c r="A8" s="23" t="s">
        <v>654</v>
      </c>
      <c r="B8" s="14" t="s">
        <v>753</v>
      </c>
      <c r="C8" s="22" t="s">
        <v>29</v>
      </c>
      <c r="D8" s="22" t="s">
        <v>30</v>
      </c>
      <c r="E8" s="23" t="s">
        <v>794</v>
      </c>
      <c r="F8" s="22" t="s">
        <v>65</v>
      </c>
      <c r="G8" s="22" t="s">
        <v>66</v>
      </c>
      <c r="H8" s="22" t="s">
        <v>231</v>
      </c>
      <c r="I8" s="24"/>
      <c r="J8" s="25" t="str">
        <f>"260,0"</f>
        <v>260,0</v>
      </c>
      <c r="K8" s="26" t="str">
        <f>"143,5200"</f>
        <v>143,5200</v>
      </c>
      <c r="L8" s="23"/>
    </row>
    <row r="9" spans="1:20" x14ac:dyDescent="0.2">
      <c r="A9" s="47" t="s">
        <v>655</v>
      </c>
      <c r="B9" s="14" t="s">
        <v>753</v>
      </c>
      <c r="C9" s="47" t="s">
        <v>216</v>
      </c>
      <c r="D9" s="47" t="s">
        <v>217</v>
      </c>
      <c r="E9" s="47" t="s">
        <v>792</v>
      </c>
      <c r="F9" s="47" t="s">
        <v>83</v>
      </c>
      <c r="G9" s="47" t="s">
        <v>330</v>
      </c>
      <c r="H9" s="48" t="s">
        <v>236</v>
      </c>
      <c r="I9" s="48"/>
      <c r="J9" s="49" t="str">
        <f>"255,0"</f>
        <v>255,0</v>
      </c>
      <c r="K9" s="49" t="str">
        <f>"168,3808"</f>
        <v>168,3808</v>
      </c>
      <c r="L9" s="47"/>
      <c r="M9" s="37"/>
      <c r="N9" s="37"/>
      <c r="O9" s="37"/>
      <c r="P9" s="37"/>
      <c r="Q9" s="37"/>
    </row>
    <row r="10" spans="1:20" x14ac:dyDescent="0.2">
      <c r="A10" s="23" t="s">
        <v>28</v>
      </c>
      <c r="B10" s="14" t="s">
        <v>753</v>
      </c>
      <c r="C10" s="22" t="s">
        <v>35</v>
      </c>
      <c r="D10" s="22" t="s">
        <v>30</v>
      </c>
      <c r="E10" s="23" t="s">
        <v>794</v>
      </c>
      <c r="F10" s="22" t="s">
        <v>65</v>
      </c>
      <c r="G10" s="22" t="s">
        <v>66</v>
      </c>
      <c r="H10" s="22" t="s">
        <v>231</v>
      </c>
      <c r="I10" s="24"/>
      <c r="J10" s="25" t="str">
        <f>"260,0"</f>
        <v>260,0</v>
      </c>
      <c r="K10" s="26" t="str">
        <f>"178,8259"</f>
        <v>178,8259</v>
      </c>
      <c r="L10" s="23"/>
    </row>
    <row r="11" spans="1:20" x14ac:dyDescent="0.2">
      <c r="A11" s="18" t="s">
        <v>41</v>
      </c>
      <c r="B11" s="14" t="s">
        <v>753</v>
      </c>
      <c r="C11" s="13" t="s">
        <v>42</v>
      </c>
      <c r="D11" s="13" t="s">
        <v>43</v>
      </c>
      <c r="E11" s="18" t="s">
        <v>754</v>
      </c>
      <c r="F11" s="13" t="s">
        <v>59</v>
      </c>
      <c r="G11" s="13" t="s">
        <v>656</v>
      </c>
      <c r="H11" s="19" t="s">
        <v>57</v>
      </c>
      <c r="I11" s="19"/>
      <c r="J11" s="20" t="str">
        <f>"200,0"</f>
        <v>200,0</v>
      </c>
      <c r="K11" s="21" t="str">
        <f>"165,8927"</f>
        <v>165,8927</v>
      </c>
      <c r="L11" s="18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21" spans="1:17" x14ac:dyDescent="0.2">
      <c r="A21" s="35" t="s">
        <v>9</v>
      </c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28" t="s">
        <v>14</v>
      </c>
      <c r="B22" s="28"/>
      <c r="C22" s="29"/>
    </row>
    <row r="23" spans="1:17" x14ac:dyDescent="0.2">
      <c r="A23" s="30"/>
      <c r="B23" s="30"/>
      <c r="C23" s="29" t="s">
        <v>11</v>
      </c>
    </row>
    <row r="24" spans="1:17" x14ac:dyDescent="0.2">
      <c r="A24" s="31" t="s">
        <v>0</v>
      </c>
      <c r="B24" s="31"/>
      <c r="C24" s="31" t="s">
        <v>12</v>
      </c>
      <c r="D24" s="31" t="s">
        <v>13</v>
      </c>
    </row>
    <row r="25" spans="1:17" x14ac:dyDescent="0.2">
      <c r="A25" s="11" t="s">
        <v>468</v>
      </c>
      <c r="B25" s="11"/>
      <c r="C25" s="3" t="s">
        <v>11</v>
      </c>
      <c r="D25" s="3" t="s">
        <v>37</v>
      </c>
    </row>
    <row r="26" spans="1:17" x14ac:dyDescent="0.2">
      <c r="A26" s="35" t="s">
        <v>27</v>
      </c>
      <c r="B26" s="35"/>
      <c r="C26" s="35" t="s">
        <v>11</v>
      </c>
      <c r="D26" s="35" t="s">
        <v>37</v>
      </c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11" t="s">
        <v>646</v>
      </c>
      <c r="B27" s="11"/>
      <c r="C27" s="3" t="s">
        <v>11</v>
      </c>
      <c r="D27" s="3" t="s">
        <v>96</v>
      </c>
    </row>
    <row r="29" spans="1:17" x14ac:dyDescent="0.2">
      <c r="A29" s="30"/>
      <c r="B29" s="30"/>
      <c r="C29" s="29" t="s">
        <v>15</v>
      </c>
    </row>
    <row r="30" spans="1:17" x14ac:dyDescent="0.2">
      <c r="A30" s="38" t="s">
        <v>0</v>
      </c>
      <c r="B30" s="38"/>
      <c r="C30" s="38" t="s">
        <v>12</v>
      </c>
      <c r="D30" s="38" t="s">
        <v>13</v>
      </c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1" spans="1:17" x14ac:dyDescent="0.2">
      <c r="A31" s="11" t="s">
        <v>27</v>
      </c>
      <c r="B31" s="11"/>
      <c r="C31" s="3" t="s">
        <v>38</v>
      </c>
      <c r="D31" s="3" t="s">
        <v>37</v>
      </c>
    </row>
    <row r="32" spans="1:17" x14ac:dyDescent="0.2">
      <c r="A32" s="11" t="s">
        <v>214</v>
      </c>
      <c r="B32" s="11"/>
      <c r="C32" s="3" t="s">
        <v>16</v>
      </c>
      <c r="D32" s="3" t="s">
        <v>37</v>
      </c>
    </row>
    <row r="33" spans="1:17" x14ac:dyDescent="0.2">
      <c r="A33" s="11" t="s">
        <v>40</v>
      </c>
      <c r="B33" s="11"/>
      <c r="C33" s="3" t="s">
        <v>44</v>
      </c>
      <c r="D33" s="3" t="s">
        <v>37</v>
      </c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7"/>
  <sheetViews>
    <sheetView workbookViewId="0">
      <selection activeCell="E10" sqref="E1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9" width="5.5703125" style="3" customWidth="1"/>
    <col min="10" max="10" width="5.7109375" style="7" bestFit="1" customWidth="1"/>
    <col min="11" max="11" width="8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745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99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101</v>
      </c>
      <c r="B4" s="4" t="s">
        <v>752</v>
      </c>
      <c r="C4" s="5" t="s">
        <v>102</v>
      </c>
      <c r="D4" s="5" t="s">
        <v>103</v>
      </c>
      <c r="E4" s="42" t="s">
        <v>761</v>
      </c>
      <c r="F4" s="42" t="s">
        <v>32</v>
      </c>
      <c r="G4" s="5" t="s">
        <v>33</v>
      </c>
      <c r="H4" s="5" t="s">
        <v>34</v>
      </c>
      <c r="I4" s="6"/>
      <c r="J4" s="9" t="str">
        <f>"150,0"</f>
        <v>150,0</v>
      </c>
      <c r="K4" s="10" t="str">
        <f>"117,2850"</f>
        <v>117,2850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105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107</v>
      </c>
      <c r="B7" s="4" t="s">
        <v>753</v>
      </c>
      <c r="C7" s="5" t="s">
        <v>108</v>
      </c>
      <c r="D7" s="5" t="s">
        <v>109</v>
      </c>
      <c r="E7" s="4" t="s">
        <v>761</v>
      </c>
      <c r="F7" s="5" t="s">
        <v>32</v>
      </c>
      <c r="G7" s="5" t="s">
        <v>36</v>
      </c>
      <c r="H7" s="5" t="s">
        <v>23</v>
      </c>
      <c r="I7" s="5" t="s">
        <v>25</v>
      </c>
      <c r="J7" s="9" t="str">
        <f>"170,0"</f>
        <v>170,0</v>
      </c>
      <c r="K7" s="10" t="str">
        <f>"153,4505"</f>
        <v>153,4505</v>
      </c>
      <c r="L7" s="4"/>
    </row>
    <row r="9" spans="1:20" x14ac:dyDescent="0.2">
      <c r="A9" s="33" t="s">
        <v>99</v>
      </c>
      <c r="B9" s="33"/>
      <c r="C9" s="34"/>
      <c r="D9" s="34"/>
      <c r="E9" s="34"/>
      <c r="F9" s="34"/>
      <c r="G9" s="34"/>
      <c r="H9" s="34"/>
      <c r="I9" s="34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4" t="s">
        <v>125</v>
      </c>
      <c r="B10" s="4" t="s">
        <v>753</v>
      </c>
      <c r="C10" s="5" t="s">
        <v>126</v>
      </c>
      <c r="D10" s="5" t="s">
        <v>127</v>
      </c>
      <c r="E10" s="4" t="s">
        <v>789</v>
      </c>
      <c r="F10" s="5" t="s">
        <v>78</v>
      </c>
      <c r="G10" s="5" t="s">
        <v>129</v>
      </c>
      <c r="H10" s="6"/>
      <c r="I10" s="6"/>
      <c r="J10" s="9" t="str">
        <f>"225,0"</f>
        <v>225,0</v>
      </c>
      <c r="K10" s="10" t="str">
        <f>"243,1050"</f>
        <v>243,1050</v>
      </c>
      <c r="L10" s="4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20" spans="1:17" x14ac:dyDescent="0.2">
      <c r="A20" s="2" t="s">
        <v>9</v>
      </c>
    </row>
    <row r="21" spans="1:17" x14ac:dyDescent="0.2">
      <c r="A21" s="33" t="s">
        <v>10</v>
      </c>
      <c r="B21" s="33"/>
      <c r="C21" s="33"/>
      <c r="D21" s="35"/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30"/>
      <c r="B22" s="30"/>
      <c r="C22" s="29" t="s">
        <v>11</v>
      </c>
    </row>
    <row r="23" spans="1:17" x14ac:dyDescent="0.2">
      <c r="A23" s="31" t="s">
        <v>0</v>
      </c>
      <c r="B23" s="31"/>
      <c r="C23" s="31" t="s">
        <v>12</v>
      </c>
      <c r="D23" s="31" t="s">
        <v>13</v>
      </c>
    </row>
    <row r="24" spans="1:17" x14ac:dyDescent="0.2">
      <c r="A24" s="11" t="s">
        <v>100</v>
      </c>
      <c r="B24" s="11"/>
      <c r="C24" s="3" t="s">
        <v>11</v>
      </c>
      <c r="D24" s="3" t="s">
        <v>136</v>
      </c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28" t="s">
        <v>14</v>
      </c>
      <c r="B27" s="28"/>
      <c r="C27" s="29"/>
    </row>
    <row r="28" spans="1:17" x14ac:dyDescent="0.2">
      <c r="A28" s="30"/>
      <c r="B28" s="30"/>
      <c r="C28" s="29" t="s">
        <v>137</v>
      </c>
    </row>
    <row r="29" spans="1:17" x14ac:dyDescent="0.2">
      <c r="A29" s="31" t="s">
        <v>0</v>
      </c>
      <c r="B29" s="31"/>
      <c r="C29" s="31" t="s">
        <v>12</v>
      </c>
      <c r="D29" s="31" t="s">
        <v>13</v>
      </c>
    </row>
    <row r="30" spans="1:17" x14ac:dyDescent="0.2">
      <c r="A30" s="35" t="s">
        <v>106</v>
      </c>
      <c r="B30" s="35"/>
      <c r="C30" s="35" t="s">
        <v>138</v>
      </c>
      <c r="D30" s="35" t="s">
        <v>139</v>
      </c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2" spans="1:17" x14ac:dyDescent="0.2">
      <c r="A32" s="30"/>
      <c r="B32" s="30"/>
      <c r="C32" s="29" t="s">
        <v>15</v>
      </c>
    </row>
    <row r="33" spans="1:17" x14ac:dyDescent="0.2">
      <c r="A33" s="31" t="s">
        <v>0</v>
      </c>
      <c r="B33" s="31"/>
      <c r="C33" s="31" t="s">
        <v>12</v>
      </c>
      <c r="D33" s="31" t="s">
        <v>13</v>
      </c>
    </row>
    <row r="34" spans="1:17" x14ac:dyDescent="0.2">
      <c r="A34" s="11" t="s">
        <v>124</v>
      </c>
      <c r="B34" s="11"/>
      <c r="C34" s="3" t="s">
        <v>140</v>
      </c>
      <c r="D34" s="3" t="s">
        <v>136</v>
      </c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workbookViewId="0">
      <selection activeCell="B4" sqref="B4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19.140625" style="3" bestFit="1" customWidth="1"/>
    <col min="4" max="4" width="7.5703125" style="3" bestFit="1" customWidth="1"/>
    <col min="5" max="5" width="14.7109375" style="2" bestFit="1" customWidth="1"/>
    <col min="6" max="8" width="4.5703125" style="3" customWidth="1"/>
    <col min="9" max="9" width="4.7109375" style="3" customWidth="1"/>
    <col min="10" max="10" width="5.7109375" style="7" bestFit="1" customWidth="1"/>
    <col min="11" max="11" width="7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219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6</v>
      </c>
      <c r="B4" s="4" t="s">
        <v>753</v>
      </c>
      <c r="C4" s="5" t="s">
        <v>7</v>
      </c>
      <c r="D4" s="5" t="s">
        <v>8</v>
      </c>
      <c r="E4" s="42" t="s">
        <v>763</v>
      </c>
      <c r="F4" s="42" t="s">
        <v>48</v>
      </c>
      <c r="G4" s="6" t="s">
        <v>49</v>
      </c>
      <c r="H4" s="5" t="s">
        <v>49</v>
      </c>
      <c r="I4" s="6"/>
      <c r="J4" s="9" t="str">
        <f>"75,0"</f>
        <v>75,0</v>
      </c>
      <c r="K4" s="10" t="str">
        <f>"39,6863"</f>
        <v>39,6863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4" spans="1:20" x14ac:dyDescent="0.2">
      <c r="A14" s="2" t="s">
        <v>9</v>
      </c>
    </row>
    <row r="15" spans="1:20" x14ac:dyDescent="0.2">
      <c r="A15" s="33" t="s">
        <v>14</v>
      </c>
      <c r="B15" s="33"/>
      <c r="C15" s="33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30"/>
      <c r="B16" s="30"/>
      <c r="C16" s="29" t="s">
        <v>11</v>
      </c>
    </row>
    <row r="17" spans="1:17" x14ac:dyDescent="0.2">
      <c r="A17" s="31" t="s">
        <v>0</v>
      </c>
      <c r="B17" s="31"/>
      <c r="C17" s="31" t="s">
        <v>12</v>
      </c>
      <c r="D17" s="31" t="s">
        <v>13</v>
      </c>
    </row>
    <row r="18" spans="1:17" x14ac:dyDescent="0.2">
      <c r="A18" s="35" t="s">
        <v>5</v>
      </c>
      <c r="B18" s="35"/>
      <c r="C18" s="35" t="s">
        <v>11</v>
      </c>
      <c r="D18" s="35" t="s">
        <v>226</v>
      </c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21" spans="1:17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7"/>
  <sheetViews>
    <sheetView workbookViewId="0">
      <selection activeCell="B4" sqref="B4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7" width="4.5703125" style="3" customWidth="1"/>
    <col min="8" max="8" width="5.5703125" style="3" customWidth="1"/>
    <col min="9" max="9" width="4.7109375" style="3" customWidth="1"/>
    <col min="10" max="10" width="5.7109375" style="7" bestFit="1" customWidth="1"/>
    <col min="11" max="11" width="7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70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615</v>
      </c>
      <c r="B4" s="4" t="s">
        <v>753</v>
      </c>
      <c r="C4" s="5" t="s">
        <v>616</v>
      </c>
      <c r="D4" s="5" t="s">
        <v>617</v>
      </c>
      <c r="E4" s="42" t="s">
        <v>754</v>
      </c>
      <c r="F4" s="42" t="s">
        <v>18</v>
      </c>
      <c r="G4" s="5" t="s">
        <v>19</v>
      </c>
      <c r="H4" s="6" t="s">
        <v>20</v>
      </c>
      <c r="I4" s="6"/>
      <c r="J4" s="9" t="str">
        <f>"90,0"</f>
        <v>90,0</v>
      </c>
      <c r="K4" s="10" t="str">
        <f>"51,2460"</f>
        <v>51,2460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3"/>
      <c r="B15" s="33"/>
      <c r="C15" s="33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30"/>
      <c r="B16" s="30"/>
      <c r="C16" s="29"/>
    </row>
    <row r="17" spans="1:17" x14ac:dyDescent="0.2">
      <c r="A17" s="31"/>
      <c r="B17" s="31"/>
      <c r="C17" s="31"/>
      <c r="D17" s="31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21" spans="1:17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5"/>
  <sheetViews>
    <sheetView workbookViewId="0">
      <selection activeCell="E30" sqref="E30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8" width="5.5703125" style="3" customWidth="1"/>
    <col min="9" max="9" width="4.7109375" style="3" customWidth="1"/>
    <col min="10" max="12" width="5.5703125" style="3" customWidth="1"/>
    <col min="13" max="13" width="4.7109375" style="3" customWidth="1"/>
    <col min="14" max="16" width="5.5703125" style="3" customWidth="1"/>
    <col min="17" max="17" width="4.7109375" style="3" customWidth="1"/>
    <col min="18" max="18" width="5.7109375" style="7" bestFit="1" customWidth="1"/>
    <col min="19" max="19" width="8.5703125" style="8" bestFit="1" customWidth="1"/>
    <col min="20" max="20" width="7.140625" style="2" bestFit="1" customWidth="1"/>
    <col min="21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743</v>
      </c>
      <c r="G1" s="61"/>
      <c r="H1" s="62"/>
      <c r="I1" s="50"/>
      <c r="J1" s="60" t="s">
        <v>744</v>
      </c>
      <c r="K1" s="61"/>
      <c r="L1" s="62"/>
      <c r="M1" s="50"/>
      <c r="N1" s="60" t="s">
        <v>745</v>
      </c>
      <c r="O1" s="61"/>
      <c r="P1" s="62"/>
      <c r="Q1" s="50"/>
      <c r="R1" s="50" t="s">
        <v>746</v>
      </c>
      <c r="S1" s="50" t="s">
        <v>747</v>
      </c>
      <c r="T1" s="53" t="s">
        <v>1</v>
      </c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>
        <v>1</v>
      </c>
      <c r="K2" s="51">
        <v>2</v>
      </c>
      <c r="L2" s="51">
        <v>3</v>
      </c>
      <c r="M2" s="51" t="s">
        <v>2</v>
      </c>
      <c r="N2" s="51">
        <v>1</v>
      </c>
      <c r="O2" s="51">
        <v>2</v>
      </c>
      <c r="P2" s="51">
        <v>3</v>
      </c>
      <c r="Q2" s="51" t="s">
        <v>2</v>
      </c>
      <c r="R2" s="51"/>
      <c r="S2" s="51"/>
      <c r="T2" s="54"/>
    </row>
    <row r="3" spans="1:20" s="3" customFormat="1" x14ac:dyDescent="0.2">
      <c r="A3" s="55" t="s">
        <v>154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7"/>
      <c r="S3" s="8"/>
      <c r="T3" s="2"/>
    </row>
    <row r="4" spans="1:20" s="3" customFormat="1" x14ac:dyDescent="0.2">
      <c r="A4" s="14" t="s">
        <v>332</v>
      </c>
      <c r="B4" s="14" t="s">
        <v>752</v>
      </c>
      <c r="C4" s="12" t="s">
        <v>333</v>
      </c>
      <c r="D4" s="12" t="s">
        <v>158</v>
      </c>
      <c r="E4" s="39" t="s">
        <v>759</v>
      </c>
      <c r="F4" s="39" t="s">
        <v>116</v>
      </c>
      <c r="G4" s="12" t="s">
        <v>20</v>
      </c>
      <c r="H4" s="12" t="s">
        <v>117</v>
      </c>
      <c r="I4" s="15"/>
      <c r="J4" s="12" t="s">
        <v>48</v>
      </c>
      <c r="K4" s="12" t="s">
        <v>334</v>
      </c>
      <c r="L4" s="12" t="s">
        <v>104</v>
      </c>
      <c r="M4" s="15"/>
      <c r="N4" s="12" t="s">
        <v>117</v>
      </c>
      <c r="O4" s="12" t="s">
        <v>110</v>
      </c>
      <c r="P4" s="12" t="s">
        <v>31</v>
      </c>
      <c r="Q4" s="15"/>
      <c r="R4" s="16" t="str">
        <f>"295,0"</f>
        <v>295,0</v>
      </c>
      <c r="S4" s="17" t="str">
        <f>"269,1432"</f>
        <v>269,1432</v>
      </c>
      <c r="T4" s="14"/>
    </row>
    <row r="5" spans="1:20" s="3" customFormat="1" x14ac:dyDescent="0.2">
      <c r="A5" s="18" t="s">
        <v>336</v>
      </c>
      <c r="B5" s="18" t="s">
        <v>752</v>
      </c>
      <c r="C5" s="13" t="s">
        <v>337</v>
      </c>
      <c r="D5" s="13" t="s">
        <v>338</v>
      </c>
      <c r="E5" s="18" t="s">
        <v>760</v>
      </c>
      <c r="F5" s="13" t="s">
        <v>19</v>
      </c>
      <c r="G5" s="13" t="s">
        <v>116</v>
      </c>
      <c r="H5" s="19" t="s">
        <v>20</v>
      </c>
      <c r="I5" s="19"/>
      <c r="J5" s="13" t="s">
        <v>159</v>
      </c>
      <c r="K5" s="19" t="s">
        <v>45</v>
      </c>
      <c r="L5" s="19" t="s">
        <v>45</v>
      </c>
      <c r="M5" s="19"/>
      <c r="N5" s="13" t="s">
        <v>18</v>
      </c>
      <c r="O5" s="13" t="s">
        <v>50</v>
      </c>
      <c r="P5" s="19" t="s">
        <v>19</v>
      </c>
      <c r="Q5" s="19"/>
      <c r="R5" s="20" t="str">
        <f>"220,0"</f>
        <v>220,0</v>
      </c>
      <c r="S5" s="21" t="str">
        <f>"211,6510"</f>
        <v>211,6510</v>
      </c>
      <c r="T5" s="18"/>
    </row>
    <row r="7" spans="1:20" x14ac:dyDescent="0.2">
      <c r="A7" s="29" t="s">
        <v>111</v>
      </c>
      <c r="B7" s="29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20" x14ac:dyDescent="0.2">
      <c r="A8" s="4" t="s">
        <v>340</v>
      </c>
      <c r="B8" s="4" t="s">
        <v>752</v>
      </c>
      <c r="C8" s="5" t="s">
        <v>341</v>
      </c>
      <c r="D8" s="5" t="s">
        <v>342</v>
      </c>
      <c r="E8" s="4" t="s">
        <v>761</v>
      </c>
      <c r="F8" s="6" t="s">
        <v>116</v>
      </c>
      <c r="G8" s="6" t="s">
        <v>116</v>
      </c>
      <c r="H8" s="5" t="s">
        <v>116</v>
      </c>
      <c r="I8" s="6"/>
      <c r="J8" s="5" t="s">
        <v>48</v>
      </c>
      <c r="K8" s="5" t="s">
        <v>343</v>
      </c>
      <c r="L8" s="5" t="s">
        <v>262</v>
      </c>
      <c r="M8" s="6"/>
      <c r="N8" s="5" t="s">
        <v>20</v>
      </c>
      <c r="O8" s="5" t="s">
        <v>110</v>
      </c>
      <c r="P8" s="5" t="s">
        <v>58</v>
      </c>
      <c r="Q8" s="6"/>
      <c r="R8" s="9" t="str">
        <f>"297,5"</f>
        <v>297,5</v>
      </c>
      <c r="S8" s="10" t="str">
        <f>"294,3469"</f>
        <v>294,3469</v>
      </c>
      <c r="T8" s="4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20" x14ac:dyDescent="0.2">
      <c r="A10" s="29" t="s">
        <v>99</v>
      </c>
      <c r="B10" s="2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20" x14ac:dyDescent="0.2">
      <c r="A11" s="4" t="s">
        <v>345</v>
      </c>
      <c r="B11" s="4" t="s">
        <v>752</v>
      </c>
      <c r="C11" s="5" t="s">
        <v>346</v>
      </c>
      <c r="D11" s="5" t="s">
        <v>347</v>
      </c>
      <c r="E11" s="4" t="s">
        <v>760</v>
      </c>
      <c r="F11" s="5" t="s">
        <v>18</v>
      </c>
      <c r="G11" s="5" t="s">
        <v>19</v>
      </c>
      <c r="H11" s="6" t="s">
        <v>116</v>
      </c>
      <c r="I11" s="6"/>
      <c r="J11" s="5" t="s">
        <v>159</v>
      </c>
      <c r="K11" s="6" t="s">
        <v>348</v>
      </c>
      <c r="L11" s="6"/>
      <c r="M11" s="6"/>
      <c r="N11" s="5" t="s">
        <v>116</v>
      </c>
      <c r="O11" s="5" t="s">
        <v>288</v>
      </c>
      <c r="P11" s="6" t="s">
        <v>68</v>
      </c>
      <c r="Q11" s="6"/>
      <c r="R11" s="9" t="str">
        <f>"232,5"</f>
        <v>232,5</v>
      </c>
      <c r="S11" s="10" t="str">
        <f>"175,4212"</f>
        <v>175,4212</v>
      </c>
      <c r="T11" s="4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20" x14ac:dyDescent="0.2">
      <c r="A13" s="29" t="s">
        <v>111</v>
      </c>
      <c r="B13" s="29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</row>
    <row r="14" spans="1:20" x14ac:dyDescent="0.2">
      <c r="A14" s="14" t="s">
        <v>350</v>
      </c>
      <c r="B14" s="14" t="s">
        <v>753</v>
      </c>
      <c r="C14" s="12" t="s">
        <v>351</v>
      </c>
      <c r="D14" s="12" t="s">
        <v>352</v>
      </c>
      <c r="E14" s="14" t="s">
        <v>756</v>
      </c>
      <c r="F14" s="12" t="s">
        <v>25</v>
      </c>
      <c r="G14" s="15" t="s">
        <v>59</v>
      </c>
      <c r="H14" s="12" t="s">
        <v>59</v>
      </c>
      <c r="I14" s="15"/>
      <c r="J14" s="12" t="s">
        <v>21</v>
      </c>
      <c r="K14" s="15" t="s">
        <v>242</v>
      </c>
      <c r="L14" s="12" t="s">
        <v>242</v>
      </c>
      <c r="M14" s="15"/>
      <c r="N14" s="15" t="s">
        <v>60</v>
      </c>
      <c r="O14" s="12" t="s">
        <v>69</v>
      </c>
      <c r="P14" s="15" t="s">
        <v>129</v>
      </c>
      <c r="Q14" s="15"/>
      <c r="R14" s="16" t="str">
        <f>"522,5"</f>
        <v>522,5</v>
      </c>
      <c r="S14" s="17" t="str">
        <f>"362,2754"</f>
        <v>362,2754</v>
      </c>
      <c r="T14" s="14"/>
    </row>
    <row r="15" spans="1:20" x14ac:dyDescent="0.2">
      <c r="A15" s="44" t="s">
        <v>354</v>
      </c>
      <c r="B15" s="14" t="s">
        <v>753</v>
      </c>
      <c r="C15" s="44" t="s">
        <v>355</v>
      </c>
      <c r="D15" s="44" t="s">
        <v>356</v>
      </c>
      <c r="E15" s="44" t="s">
        <v>761</v>
      </c>
      <c r="F15" s="44" t="s">
        <v>180</v>
      </c>
      <c r="G15" s="45" t="s">
        <v>119</v>
      </c>
      <c r="H15" s="45" t="s">
        <v>119</v>
      </c>
      <c r="I15" s="45"/>
      <c r="J15" s="44" t="s">
        <v>21</v>
      </c>
      <c r="K15" s="44" t="s">
        <v>32</v>
      </c>
      <c r="L15" s="45" t="s">
        <v>357</v>
      </c>
      <c r="M15" s="45"/>
      <c r="N15" s="44" t="s">
        <v>34</v>
      </c>
      <c r="O15" s="44" t="s">
        <v>23</v>
      </c>
      <c r="P15" s="44" t="s">
        <v>59</v>
      </c>
      <c r="Q15" s="45"/>
      <c r="R15" s="20" t="str">
        <f>"502,5"</f>
        <v>502,5</v>
      </c>
      <c r="S15" s="21" t="str">
        <f>"346,6747"</f>
        <v>346,6747</v>
      </c>
      <c r="T15" s="18"/>
    </row>
    <row r="16" spans="1:20" x14ac:dyDescent="0.2">
      <c r="B16" s="14" t="s">
        <v>753</v>
      </c>
    </row>
    <row r="17" spans="1:20" x14ac:dyDescent="0.2">
      <c r="A17" s="29" t="s">
        <v>99</v>
      </c>
      <c r="B17" s="14" t="s">
        <v>753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20" x14ac:dyDescent="0.2">
      <c r="A18" s="39" t="s">
        <v>359</v>
      </c>
      <c r="B18" s="14" t="s">
        <v>753</v>
      </c>
      <c r="C18" s="39" t="s">
        <v>360</v>
      </c>
      <c r="D18" s="39" t="s">
        <v>361</v>
      </c>
      <c r="E18" s="39" t="s">
        <v>756</v>
      </c>
      <c r="F18" s="39" t="s">
        <v>78</v>
      </c>
      <c r="G18" s="40" t="s">
        <v>84</v>
      </c>
      <c r="H18" s="40" t="s">
        <v>84</v>
      </c>
      <c r="I18" s="40"/>
      <c r="J18" s="39" t="s">
        <v>218</v>
      </c>
      <c r="K18" s="40" t="s">
        <v>36</v>
      </c>
      <c r="L18" s="40"/>
      <c r="M18" s="40"/>
      <c r="N18" s="39" t="s">
        <v>67</v>
      </c>
      <c r="O18" s="40" t="s">
        <v>362</v>
      </c>
      <c r="P18" s="40" t="s">
        <v>362</v>
      </c>
      <c r="Q18" s="40"/>
      <c r="R18" s="16" t="str">
        <f>"615,0"</f>
        <v>615,0</v>
      </c>
      <c r="S18" s="17" t="str">
        <f>"378,6555"</f>
        <v>378,6555</v>
      </c>
      <c r="T18" s="14"/>
    </row>
    <row r="19" spans="1:20" x14ac:dyDescent="0.2">
      <c r="A19" s="23" t="s">
        <v>364</v>
      </c>
      <c r="B19" s="14" t="s">
        <v>753</v>
      </c>
      <c r="C19" s="22" t="s">
        <v>365</v>
      </c>
      <c r="D19" s="22" t="s">
        <v>347</v>
      </c>
      <c r="E19" s="23" t="s">
        <v>762</v>
      </c>
      <c r="F19" s="22" t="s">
        <v>36</v>
      </c>
      <c r="G19" s="22" t="s">
        <v>25</v>
      </c>
      <c r="H19" s="22" t="s">
        <v>59</v>
      </c>
      <c r="I19" s="24"/>
      <c r="J19" s="22" t="s">
        <v>33</v>
      </c>
      <c r="K19" s="24" t="s">
        <v>273</v>
      </c>
      <c r="L19" s="24" t="s">
        <v>273</v>
      </c>
      <c r="M19" s="24"/>
      <c r="N19" s="22" t="s">
        <v>84</v>
      </c>
      <c r="O19" s="22" t="s">
        <v>65</v>
      </c>
      <c r="P19" s="24" t="s">
        <v>83</v>
      </c>
      <c r="Q19" s="24"/>
      <c r="R19" s="25" t="str">
        <f>"560,0"</f>
        <v>560,0</v>
      </c>
      <c r="S19" s="26" t="str">
        <f>"345,9120"</f>
        <v>345,9120</v>
      </c>
      <c r="T19" s="23"/>
    </row>
    <row r="20" spans="1:20" x14ac:dyDescent="0.2">
      <c r="A20" s="23" t="s">
        <v>367</v>
      </c>
      <c r="B20" s="14" t="s">
        <v>753</v>
      </c>
      <c r="C20" s="22" t="s">
        <v>368</v>
      </c>
      <c r="D20" s="22" t="s">
        <v>267</v>
      </c>
      <c r="E20" s="23" t="s">
        <v>754</v>
      </c>
      <c r="F20" s="22" t="s">
        <v>218</v>
      </c>
      <c r="G20" s="22" t="s">
        <v>22</v>
      </c>
      <c r="H20" s="22" t="s">
        <v>24</v>
      </c>
      <c r="I20" s="24"/>
      <c r="J20" s="22" t="s">
        <v>19</v>
      </c>
      <c r="K20" s="22" t="s">
        <v>20</v>
      </c>
      <c r="L20" s="24" t="s">
        <v>117</v>
      </c>
      <c r="M20" s="24"/>
      <c r="N20" s="22" t="s">
        <v>60</v>
      </c>
      <c r="O20" s="22" t="s">
        <v>69</v>
      </c>
      <c r="P20" s="22" t="s">
        <v>65</v>
      </c>
      <c r="Q20" s="24"/>
      <c r="R20" s="25" t="str">
        <f>"505,0"</f>
        <v>505,0</v>
      </c>
      <c r="S20" s="26" t="str">
        <f>"316,5593"</f>
        <v>316,5593</v>
      </c>
      <c r="T20" s="23"/>
    </row>
    <row r="21" spans="1:20" x14ac:dyDescent="0.2">
      <c r="A21" s="47" t="s">
        <v>369</v>
      </c>
      <c r="B21" s="14" t="s">
        <v>753</v>
      </c>
      <c r="C21" s="47" t="s">
        <v>370</v>
      </c>
      <c r="D21" s="47" t="s">
        <v>347</v>
      </c>
      <c r="E21" s="47" t="s">
        <v>762</v>
      </c>
      <c r="F21" s="47" t="s">
        <v>36</v>
      </c>
      <c r="G21" s="47" t="s">
        <v>25</v>
      </c>
      <c r="H21" s="47" t="s">
        <v>59</v>
      </c>
      <c r="I21" s="48"/>
      <c r="J21" s="47" t="s">
        <v>33</v>
      </c>
      <c r="K21" s="48" t="s">
        <v>273</v>
      </c>
      <c r="L21" s="48" t="s">
        <v>273</v>
      </c>
      <c r="M21" s="48"/>
      <c r="N21" s="47" t="s">
        <v>84</v>
      </c>
      <c r="O21" s="47" t="s">
        <v>65</v>
      </c>
      <c r="P21" s="48" t="s">
        <v>83</v>
      </c>
      <c r="Q21" s="48"/>
      <c r="R21" s="25" t="str">
        <f>"560,0"</f>
        <v>560,0</v>
      </c>
      <c r="S21" s="26" t="str">
        <f>"360,7862"</f>
        <v>360,7862</v>
      </c>
      <c r="T21" s="23"/>
    </row>
    <row r="22" spans="1:20" x14ac:dyDescent="0.2">
      <c r="A22" s="18" t="s">
        <v>372</v>
      </c>
      <c r="B22" s="14" t="s">
        <v>753</v>
      </c>
      <c r="C22" s="13" t="s">
        <v>373</v>
      </c>
      <c r="D22" s="13" t="s">
        <v>374</v>
      </c>
      <c r="E22" s="18" t="s">
        <v>761</v>
      </c>
      <c r="F22" s="19" t="s">
        <v>25</v>
      </c>
      <c r="G22" s="13" t="s">
        <v>25</v>
      </c>
      <c r="H22" s="19" t="s">
        <v>375</v>
      </c>
      <c r="I22" s="19"/>
      <c r="J22" s="13" t="s">
        <v>21</v>
      </c>
      <c r="K22" s="13" t="s">
        <v>31</v>
      </c>
      <c r="L22" s="19" t="s">
        <v>58</v>
      </c>
      <c r="M22" s="19"/>
      <c r="N22" s="13" t="s">
        <v>33</v>
      </c>
      <c r="O22" s="13" t="s">
        <v>34</v>
      </c>
      <c r="P22" s="19" t="s">
        <v>83</v>
      </c>
      <c r="Q22" s="19"/>
      <c r="R22" s="20" t="str">
        <f>"450,0"</f>
        <v>450,0</v>
      </c>
      <c r="S22" s="21" t="str">
        <f>"282,4036"</f>
        <v>282,4036</v>
      </c>
      <c r="T22" s="18"/>
    </row>
    <row r="23" spans="1:20" x14ac:dyDescent="0.2">
      <c r="B23" s="14" t="s">
        <v>753</v>
      </c>
    </row>
    <row r="24" spans="1:20" x14ac:dyDescent="0.2">
      <c r="A24" s="29" t="s">
        <v>4</v>
      </c>
      <c r="B24" s="14" t="s">
        <v>753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20" x14ac:dyDescent="0.2">
      <c r="A25" s="14" t="s">
        <v>377</v>
      </c>
      <c r="B25" s="14" t="s">
        <v>753</v>
      </c>
      <c r="C25" s="12" t="s">
        <v>378</v>
      </c>
      <c r="D25" s="12" t="s">
        <v>379</v>
      </c>
      <c r="E25" s="14" t="s">
        <v>754</v>
      </c>
      <c r="F25" s="15" t="s">
        <v>25</v>
      </c>
      <c r="G25" s="12" t="s">
        <v>59</v>
      </c>
      <c r="H25" s="12" t="s">
        <v>60</v>
      </c>
      <c r="I25" s="15"/>
      <c r="J25" s="12" t="s">
        <v>218</v>
      </c>
      <c r="K25" s="12" t="s">
        <v>36</v>
      </c>
      <c r="L25" s="12" t="s">
        <v>22</v>
      </c>
      <c r="M25" s="15"/>
      <c r="N25" s="12" t="s">
        <v>59</v>
      </c>
      <c r="O25" s="12" t="s">
        <v>57</v>
      </c>
      <c r="P25" s="15" t="s">
        <v>84</v>
      </c>
      <c r="Q25" s="15"/>
      <c r="R25" s="16" t="str">
        <f>"570,0"</f>
        <v>570,0</v>
      </c>
      <c r="S25" s="17" t="str">
        <f>"333,3360"</f>
        <v>333,3360</v>
      </c>
      <c r="T25" s="14"/>
    </row>
    <row r="26" spans="1:20" x14ac:dyDescent="0.2">
      <c r="A26" s="47" t="s">
        <v>381</v>
      </c>
      <c r="B26" s="14" t="s">
        <v>753</v>
      </c>
      <c r="C26" s="47" t="s">
        <v>382</v>
      </c>
      <c r="D26" s="47" t="s">
        <v>305</v>
      </c>
      <c r="E26" s="47" t="s">
        <v>754</v>
      </c>
      <c r="F26" s="47" t="s">
        <v>34</v>
      </c>
      <c r="G26" s="47" t="s">
        <v>36</v>
      </c>
      <c r="H26" s="47" t="s">
        <v>23</v>
      </c>
      <c r="I26" s="48"/>
      <c r="J26" s="47" t="s">
        <v>20</v>
      </c>
      <c r="K26" s="47" t="s">
        <v>21</v>
      </c>
      <c r="L26" s="47" t="s">
        <v>110</v>
      </c>
      <c r="M26" s="48"/>
      <c r="N26" s="48" t="s">
        <v>34</v>
      </c>
      <c r="O26" s="47" t="s">
        <v>36</v>
      </c>
      <c r="P26" s="47" t="s">
        <v>25</v>
      </c>
      <c r="Q26" s="48"/>
      <c r="R26" s="25" t="str">
        <f>"465,0"</f>
        <v>465,0</v>
      </c>
      <c r="S26" s="26" t="str">
        <f>"280,9995"</f>
        <v>280,9995</v>
      </c>
      <c r="T26" s="23"/>
    </row>
    <row r="27" spans="1:20" x14ac:dyDescent="0.2">
      <c r="A27" s="18" t="s">
        <v>377</v>
      </c>
      <c r="B27" s="14" t="s">
        <v>753</v>
      </c>
      <c r="C27" s="13" t="s">
        <v>383</v>
      </c>
      <c r="D27" s="13" t="s">
        <v>379</v>
      </c>
      <c r="E27" s="18" t="s">
        <v>754</v>
      </c>
      <c r="F27" s="19" t="s">
        <v>25</v>
      </c>
      <c r="G27" s="13" t="s">
        <v>59</v>
      </c>
      <c r="H27" s="13" t="s">
        <v>60</v>
      </c>
      <c r="I27" s="19"/>
      <c r="J27" s="13" t="s">
        <v>218</v>
      </c>
      <c r="K27" s="13" t="s">
        <v>36</v>
      </c>
      <c r="L27" s="13" t="s">
        <v>22</v>
      </c>
      <c r="M27" s="19"/>
      <c r="N27" s="13" t="s">
        <v>59</v>
      </c>
      <c r="O27" s="13" t="s">
        <v>57</v>
      </c>
      <c r="P27" s="19" t="s">
        <v>84</v>
      </c>
      <c r="Q27" s="19"/>
      <c r="R27" s="20" t="str">
        <f>"570,0"</f>
        <v>570,0</v>
      </c>
      <c r="S27" s="21" t="str">
        <f>"343,6694"</f>
        <v>343,6694</v>
      </c>
      <c r="T27" s="18"/>
    </row>
    <row r="28" spans="1:20" x14ac:dyDescent="0.2">
      <c r="B28" s="14" t="s">
        <v>753</v>
      </c>
    </row>
    <row r="29" spans="1:20" x14ac:dyDescent="0.2">
      <c r="A29" s="29" t="s">
        <v>70</v>
      </c>
      <c r="B29" s="14" t="s">
        <v>753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20" x14ac:dyDescent="0.2">
      <c r="A30" s="42" t="s">
        <v>385</v>
      </c>
      <c r="B30" s="14" t="s">
        <v>753</v>
      </c>
      <c r="C30" s="42" t="s">
        <v>386</v>
      </c>
      <c r="D30" s="42" t="s">
        <v>387</v>
      </c>
      <c r="E30" s="42" t="s">
        <v>763</v>
      </c>
      <c r="F30" s="42" t="s">
        <v>83</v>
      </c>
      <c r="G30" s="42" t="s">
        <v>231</v>
      </c>
      <c r="H30" s="43" t="s">
        <v>134</v>
      </c>
      <c r="I30" s="43"/>
      <c r="J30" s="42" t="s">
        <v>263</v>
      </c>
      <c r="K30" s="42" t="s">
        <v>273</v>
      </c>
      <c r="L30" s="42" t="s">
        <v>34</v>
      </c>
      <c r="M30" s="43"/>
      <c r="N30" s="42" t="s">
        <v>327</v>
      </c>
      <c r="O30" s="42" t="s">
        <v>67</v>
      </c>
      <c r="P30" s="42" t="s">
        <v>231</v>
      </c>
      <c r="Q30" s="43"/>
      <c r="R30" s="9" t="str">
        <f>"670,0"</f>
        <v>670,0</v>
      </c>
      <c r="S30" s="10" t="str">
        <f>"382,2350"</f>
        <v>382,2350</v>
      </c>
      <c r="T30" s="4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40" spans="1:17" x14ac:dyDescent="0.2">
      <c r="A40" s="2" t="s">
        <v>9</v>
      </c>
    </row>
    <row r="41" spans="1:17" x14ac:dyDescent="0.2">
      <c r="A41" s="28" t="s">
        <v>10</v>
      </c>
      <c r="B41" s="28"/>
      <c r="C41" s="29"/>
    </row>
    <row r="42" spans="1:17" x14ac:dyDescent="0.2">
      <c r="A42" s="30"/>
      <c r="B42" s="30"/>
      <c r="C42" s="29" t="s">
        <v>93</v>
      </c>
    </row>
    <row r="43" spans="1:17" x14ac:dyDescent="0.2">
      <c r="A43" s="31" t="s">
        <v>0</v>
      </c>
      <c r="B43" s="31"/>
      <c r="C43" s="31" t="s">
        <v>12</v>
      </c>
      <c r="D43" s="31" t="s">
        <v>13</v>
      </c>
    </row>
    <row r="44" spans="1:17" x14ac:dyDescent="0.2">
      <c r="A44" s="11" t="s">
        <v>344</v>
      </c>
      <c r="B44" s="11"/>
      <c r="C44" s="3" t="s">
        <v>388</v>
      </c>
      <c r="D44" s="3" t="s">
        <v>136</v>
      </c>
    </row>
    <row r="46" spans="1:17" x14ac:dyDescent="0.2">
      <c r="A46" s="30"/>
      <c r="B46" s="30"/>
      <c r="C46" s="29" t="s">
        <v>11</v>
      </c>
    </row>
    <row r="47" spans="1:17" x14ac:dyDescent="0.2">
      <c r="A47" s="31" t="s">
        <v>0</v>
      </c>
      <c r="B47" s="31"/>
      <c r="C47" s="31" t="s">
        <v>12</v>
      </c>
      <c r="D47" s="31" t="s">
        <v>13</v>
      </c>
    </row>
    <row r="48" spans="1:17" x14ac:dyDescent="0.2">
      <c r="A48" s="11" t="s">
        <v>331</v>
      </c>
      <c r="B48" s="11"/>
      <c r="C48" s="3" t="s">
        <v>11</v>
      </c>
      <c r="D48" s="3" t="s">
        <v>222</v>
      </c>
    </row>
    <row r="49" spans="1:4" x14ac:dyDescent="0.2">
      <c r="A49" s="11" t="s">
        <v>335</v>
      </c>
      <c r="B49" s="11"/>
      <c r="C49" s="3" t="s">
        <v>11</v>
      </c>
      <c r="D49" s="3" t="s">
        <v>222</v>
      </c>
    </row>
    <row r="51" spans="1:4" x14ac:dyDescent="0.2">
      <c r="A51" s="30"/>
      <c r="B51" s="30"/>
      <c r="C51" s="29" t="s">
        <v>15</v>
      </c>
    </row>
    <row r="52" spans="1:4" x14ac:dyDescent="0.2">
      <c r="A52" s="31" t="s">
        <v>0</v>
      </c>
      <c r="B52" s="31"/>
      <c r="C52" s="31" t="s">
        <v>12</v>
      </c>
      <c r="D52" s="31" t="s">
        <v>13</v>
      </c>
    </row>
    <row r="53" spans="1:4" x14ac:dyDescent="0.2">
      <c r="A53" s="11" t="s">
        <v>339</v>
      </c>
      <c r="B53" s="11"/>
      <c r="C53" s="3" t="s">
        <v>98</v>
      </c>
      <c r="D53" s="3" t="s">
        <v>141</v>
      </c>
    </row>
    <row r="56" spans="1:4" x14ac:dyDescent="0.2">
      <c r="A56" s="28" t="s">
        <v>14</v>
      </c>
      <c r="B56" s="28"/>
      <c r="C56" s="29"/>
    </row>
    <row r="57" spans="1:4" x14ac:dyDescent="0.2">
      <c r="A57" s="30"/>
      <c r="B57" s="30"/>
      <c r="C57" s="29" t="s">
        <v>137</v>
      </c>
    </row>
    <row r="58" spans="1:4" x14ac:dyDescent="0.2">
      <c r="A58" s="31" t="s">
        <v>0</v>
      </c>
      <c r="B58" s="31"/>
      <c r="C58" s="31" t="s">
        <v>12</v>
      </c>
      <c r="D58" s="31" t="s">
        <v>13</v>
      </c>
    </row>
    <row r="59" spans="1:4" x14ac:dyDescent="0.2">
      <c r="A59" s="11" t="s">
        <v>384</v>
      </c>
      <c r="B59" s="11"/>
      <c r="C59" s="3" t="s">
        <v>138</v>
      </c>
      <c r="D59" s="3" t="s">
        <v>96</v>
      </c>
    </row>
    <row r="60" spans="1:4" x14ac:dyDescent="0.2">
      <c r="A60" s="11" t="s">
        <v>349</v>
      </c>
      <c r="B60" s="11"/>
      <c r="C60" s="3" t="s">
        <v>138</v>
      </c>
      <c r="D60" s="3" t="s">
        <v>141</v>
      </c>
    </row>
    <row r="62" spans="1:4" x14ac:dyDescent="0.2">
      <c r="A62" s="30"/>
      <c r="B62" s="30"/>
      <c r="C62" s="29" t="s">
        <v>11</v>
      </c>
    </row>
    <row r="63" spans="1:4" x14ac:dyDescent="0.2">
      <c r="A63" s="31" t="s">
        <v>0</v>
      </c>
      <c r="B63" s="31"/>
      <c r="C63" s="31" t="s">
        <v>12</v>
      </c>
      <c r="D63" s="31" t="s">
        <v>13</v>
      </c>
    </row>
    <row r="64" spans="1:4" x14ac:dyDescent="0.2">
      <c r="A64" s="11" t="s">
        <v>358</v>
      </c>
      <c r="B64" s="11"/>
      <c r="C64" s="3" t="s">
        <v>11</v>
      </c>
      <c r="D64" s="3" t="s">
        <v>136</v>
      </c>
    </row>
    <row r="65" spans="1:4" x14ac:dyDescent="0.2">
      <c r="A65" s="11" t="s">
        <v>353</v>
      </c>
      <c r="B65" s="11"/>
      <c r="C65" s="3" t="s">
        <v>11</v>
      </c>
      <c r="D65" s="3" t="s">
        <v>141</v>
      </c>
    </row>
    <row r="66" spans="1:4" x14ac:dyDescent="0.2">
      <c r="A66" s="11" t="s">
        <v>363</v>
      </c>
      <c r="B66" s="11"/>
      <c r="C66" s="3" t="s">
        <v>11</v>
      </c>
      <c r="D66" s="3" t="s">
        <v>136</v>
      </c>
    </row>
    <row r="67" spans="1:4" x14ac:dyDescent="0.2">
      <c r="A67" s="11" t="s">
        <v>376</v>
      </c>
      <c r="B67" s="11"/>
      <c r="C67" s="3" t="s">
        <v>11</v>
      </c>
      <c r="D67" s="3" t="s">
        <v>17</v>
      </c>
    </row>
    <row r="68" spans="1:4" x14ac:dyDescent="0.2">
      <c r="A68" s="11" t="s">
        <v>366</v>
      </c>
      <c r="B68" s="11"/>
      <c r="C68" s="3" t="s">
        <v>11</v>
      </c>
      <c r="D68" s="3" t="s">
        <v>136</v>
      </c>
    </row>
    <row r="69" spans="1:4" x14ac:dyDescent="0.2">
      <c r="A69" s="11" t="s">
        <v>380</v>
      </c>
      <c r="B69" s="11"/>
      <c r="C69" s="3" t="s">
        <v>11</v>
      </c>
      <c r="D69" s="3" t="s">
        <v>17</v>
      </c>
    </row>
    <row r="71" spans="1:4" x14ac:dyDescent="0.2">
      <c r="A71" s="30"/>
      <c r="B71" s="30"/>
      <c r="C71" s="29" t="s">
        <v>15</v>
      </c>
    </row>
    <row r="72" spans="1:4" x14ac:dyDescent="0.2">
      <c r="A72" s="31" t="s">
        <v>0</v>
      </c>
      <c r="B72" s="31"/>
      <c r="C72" s="31" t="s">
        <v>12</v>
      </c>
      <c r="D72" s="31" t="s">
        <v>13</v>
      </c>
    </row>
    <row r="73" spans="1:4" x14ac:dyDescent="0.2">
      <c r="A73" s="11" t="s">
        <v>363</v>
      </c>
      <c r="B73" s="11"/>
      <c r="C73" s="3" t="s">
        <v>97</v>
      </c>
      <c r="D73" s="3" t="s">
        <v>136</v>
      </c>
    </row>
    <row r="74" spans="1:4" x14ac:dyDescent="0.2">
      <c r="A74" s="11" t="s">
        <v>376</v>
      </c>
      <c r="B74" s="11"/>
      <c r="C74" s="3" t="s">
        <v>97</v>
      </c>
      <c r="D74" s="3" t="s">
        <v>17</v>
      </c>
    </row>
    <row r="75" spans="1:4" x14ac:dyDescent="0.2">
      <c r="A75" s="11" t="s">
        <v>371</v>
      </c>
      <c r="B75" s="11"/>
      <c r="C75" s="3" t="s">
        <v>97</v>
      </c>
      <c r="D75" s="3" t="s">
        <v>136</v>
      </c>
    </row>
  </sheetData>
  <mergeCells count="3">
    <mergeCell ref="F1:H1"/>
    <mergeCell ref="J1:L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7"/>
  <sheetViews>
    <sheetView workbookViewId="0">
      <selection activeCell="B13" sqref="B13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8" width="5.5703125" style="3" customWidth="1"/>
    <col min="9" max="9" width="4.7109375" style="3" customWidth="1"/>
    <col min="10" max="12" width="5.5703125" style="3" customWidth="1"/>
    <col min="13" max="13" width="4.7109375" style="3" customWidth="1"/>
    <col min="14" max="16" width="5.5703125" style="3" customWidth="1"/>
    <col min="17" max="17" width="4.7109375" style="3" customWidth="1"/>
    <col min="18" max="18" width="5.7109375" style="7" bestFit="1" customWidth="1"/>
    <col min="19" max="19" width="8.5703125" style="8" bestFit="1" customWidth="1"/>
    <col min="20" max="20" width="7.140625" style="2" bestFit="1" customWidth="1"/>
    <col min="21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743</v>
      </c>
      <c r="G1" s="61"/>
      <c r="H1" s="62"/>
      <c r="I1" s="50"/>
      <c r="J1" s="60" t="s">
        <v>744</v>
      </c>
      <c r="K1" s="61"/>
      <c r="L1" s="62"/>
      <c r="M1" s="50"/>
      <c r="N1" s="60" t="s">
        <v>745</v>
      </c>
      <c r="O1" s="61"/>
      <c r="P1" s="62"/>
      <c r="Q1" s="50"/>
      <c r="R1" s="50" t="s">
        <v>746</v>
      </c>
      <c r="S1" s="50" t="s">
        <v>747</v>
      </c>
      <c r="T1" s="53" t="s">
        <v>1</v>
      </c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>
        <v>1</v>
      </c>
      <c r="K2" s="51">
        <v>2</v>
      </c>
      <c r="L2" s="51">
        <v>3</v>
      </c>
      <c r="M2" s="51" t="s">
        <v>2</v>
      </c>
      <c r="N2" s="51">
        <v>1</v>
      </c>
      <c r="O2" s="51">
        <v>2</v>
      </c>
      <c r="P2" s="51">
        <v>3</v>
      </c>
      <c r="Q2" s="51" t="s">
        <v>2</v>
      </c>
      <c r="R2" s="51"/>
      <c r="S2" s="51"/>
      <c r="T2" s="54"/>
    </row>
    <row r="3" spans="1:20" s="3" customFormat="1" x14ac:dyDescent="0.2">
      <c r="A3" s="55" t="s">
        <v>105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7"/>
      <c r="S3" s="8"/>
      <c r="T3" s="2"/>
    </row>
    <row r="4" spans="1:20" s="3" customFormat="1" x14ac:dyDescent="0.2">
      <c r="A4" s="4" t="s">
        <v>390</v>
      </c>
      <c r="B4" s="4" t="s">
        <v>753</v>
      </c>
      <c r="C4" s="5" t="s">
        <v>391</v>
      </c>
      <c r="D4" s="5" t="s">
        <v>392</v>
      </c>
      <c r="E4" s="42" t="s">
        <v>761</v>
      </c>
      <c r="F4" s="42" t="s">
        <v>19</v>
      </c>
      <c r="G4" s="6" t="s">
        <v>31</v>
      </c>
      <c r="H4" s="6"/>
      <c r="I4" s="6"/>
      <c r="J4" s="5" t="s">
        <v>159</v>
      </c>
      <c r="K4" s="5" t="s">
        <v>165</v>
      </c>
      <c r="L4" s="5" t="s">
        <v>47</v>
      </c>
      <c r="M4" s="6"/>
      <c r="N4" s="5" t="s">
        <v>31</v>
      </c>
      <c r="O4" s="5" t="s">
        <v>33</v>
      </c>
      <c r="P4" s="5" t="s">
        <v>36</v>
      </c>
      <c r="Q4" s="6"/>
      <c r="R4" s="9" t="str">
        <f>"310,0"</f>
        <v>310,0</v>
      </c>
      <c r="S4" s="10" t="str">
        <f>"283,5880"</f>
        <v>283,5880</v>
      </c>
      <c r="T4" s="4"/>
    </row>
    <row r="5" spans="1:20" s="3" customFormat="1" x14ac:dyDescent="0.2">
      <c r="A5" s="2"/>
      <c r="B5" s="2"/>
      <c r="E5" s="2"/>
      <c r="R5" s="7"/>
      <c r="S5" s="8"/>
      <c r="T5" s="2"/>
    </row>
    <row r="6" spans="1:20" x14ac:dyDescent="0.2">
      <c r="A6" s="29" t="s">
        <v>111</v>
      </c>
      <c r="B6" s="29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20" x14ac:dyDescent="0.2">
      <c r="A7" s="4" t="s">
        <v>354</v>
      </c>
      <c r="B7" s="4" t="s">
        <v>753</v>
      </c>
      <c r="C7" s="5" t="s">
        <v>355</v>
      </c>
      <c r="D7" s="5" t="s">
        <v>356</v>
      </c>
      <c r="E7" s="4" t="s">
        <v>761</v>
      </c>
      <c r="F7" s="5" t="s">
        <v>25</v>
      </c>
      <c r="G7" s="6" t="s">
        <v>60</v>
      </c>
      <c r="H7" s="6" t="s">
        <v>60</v>
      </c>
      <c r="I7" s="6"/>
      <c r="J7" s="5" t="s">
        <v>32</v>
      </c>
      <c r="K7" s="5" t="s">
        <v>34</v>
      </c>
      <c r="L7" s="6" t="s">
        <v>36</v>
      </c>
      <c r="M7" s="6"/>
      <c r="N7" s="5" t="s">
        <v>23</v>
      </c>
      <c r="O7" s="5" t="s">
        <v>59</v>
      </c>
      <c r="P7" s="5" t="s">
        <v>60</v>
      </c>
      <c r="Q7" s="6"/>
      <c r="R7" s="9" t="str">
        <f>"530,0"</f>
        <v>530,0</v>
      </c>
      <c r="S7" s="10" t="str">
        <f>"365,6470"</f>
        <v>365,6470</v>
      </c>
      <c r="T7" s="4"/>
    </row>
    <row r="9" spans="1:20" x14ac:dyDescent="0.2">
      <c r="A9" s="33" t="s">
        <v>99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0" x14ac:dyDescent="0.2">
      <c r="A10" s="4" t="s">
        <v>121</v>
      </c>
      <c r="B10" s="4" t="s">
        <v>753</v>
      </c>
      <c r="C10" s="5" t="s">
        <v>122</v>
      </c>
      <c r="D10" s="5" t="s">
        <v>123</v>
      </c>
      <c r="E10" s="4" t="s">
        <v>761</v>
      </c>
      <c r="F10" s="5" t="s">
        <v>23</v>
      </c>
      <c r="G10" s="6" t="s">
        <v>119</v>
      </c>
      <c r="H10" s="6"/>
      <c r="I10" s="6"/>
      <c r="J10" s="5" t="s">
        <v>20</v>
      </c>
      <c r="K10" s="5" t="s">
        <v>21</v>
      </c>
      <c r="L10" s="6" t="s">
        <v>110</v>
      </c>
      <c r="M10" s="6"/>
      <c r="N10" s="5" t="s">
        <v>60</v>
      </c>
      <c r="O10" s="5" t="s">
        <v>84</v>
      </c>
      <c r="P10" s="5" t="s">
        <v>65</v>
      </c>
      <c r="Q10" s="6"/>
      <c r="R10" s="9" t="str">
        <f>"510,0"</f>
        <v>510,0</v>
      </c>
      <c r="S10" s="10" t="str">
        <f>"336,2595"</f>
        <v>336,2595</v>
      </c>
      <c r="T10" s="4"/>
    </row>
    <row r="12" spans="1:20" x14ac:dyDescent="0.2">
      <c r="A12" s="33" t="s">
        <v>4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0" x14ac:dyDescent="0.2">
      <c r="A13" s="4" t="s">
        <v>394</v>
      </c>
      <c r="B13" s="4" t="s">
        <v>753</v>
      </c>
      <c r="C13" s="5" t="s">
        <v>395</v>
      </c>
      <c r="D13" s="5" t="s">
        <v>313</v>
      </c>
      <c r="E13" s="4" t="s">
        <v>761</v>
      </c>
      <c r="F13" s="6" t="s">
        <v>21</v>
      </c>
      <c r="G13" s="5" t="s">
        <v>31</v>
      </c>
      <c r="H13" s="6" t="s">
        <v>33</v>
      </c>
      <c r="I13" s="6"/>
      <c r="J13" s="5" t="s">
        <v>19</v>
      </c>
      <c r="K13" s="5" t="s">
        <v>116</v>
      </c>
      <c r="L13" s="6" t="s">
        <v>20</v>
      </c>
      <c r="M13" s="6"/>
      <c r="N13" s="5" t="s">
        <v>22</v>
      </c>
      <c r="O13" s="5" t="s">
        <v>59</v>
      </c>
      <c r="P13" s="6" t="s">
        <v>129</v>
      </c>
      <c r="Q13" s="6"/>
      <c r="R13" s="9" t="str">
        <f>"405,0"</f>
        <v>405,0</v>
      </c>
      <c r="S13" s="10" t="str">
        <f>"241,0560"</f>
        <v>241,0560</v>
      </c>
      <c r="T13" s="4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21" spans="1:17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3" spans="1:17" x14ac:dyDescent="0.2">
      <c r="A23" s="2" t="s">
        <v>9</v>
      </c>
    </row>
    <row r="24" spans="1:17" x14ac:dyDescent="0.2">
      <c r="A24" s="28" t="s">
        <v>14</v>
      </c>
      <c r="B24" s="28"/>
      <c r="C24" s="29"/>
    </row>
    <row r="25" spans="1:17" x14ac:dyDescent="0.2">
      <c r="A25" s="30"/>
      <c r="B25" s="30"/>
      <c r="C25" s="29" t="s">
        <v>137</v>
      </c>
    </row>
    <row r="26" spans="1:17" x14ac:dyDescent="0.2">
      <c r="A26" s="38" t="s">
        <v>0</v>
      </c>
      <c r="B26" s="38"/>
      <c r="C26" s="38" t="s">
        <v>12</v>
      </c>
      <c r="D26" s="38" t="s">
        <v>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2">
      <c r="A27" s="11" t="s">
        <v>389</v>
      </c>
      <c r="B27" s="11"/>
      <c r="C27" s="3" t="s">
        <v>138</v>
      </c>
      <c r="D27" s="3" t="s">
        <v>139</v>
      </c>
    </row>
    <row r="29" spans="1:17" x14ac:dyDescent="0.2">
      <c r="A29" s="30"/>
      <c r="B29" s="30"/>
      <c r="C29" s="29" t="s">
        <v>11</v>
      </c>
    </row>
    <row r="30" spans="1:17" x14ac:dyDescent="0.2">
      <c r="A30" s="38" t="s">
        <v>0</v>
      </c>
      <c r="B30" s="38"/>
      <c r="C30" s="38" t="s">
        <v>12</v>
      </c>
      <c r="D30" s="38" t="s">
        <v>13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2">
      <c r="A31" s="11" t="s">
        <v>353</v>
      </c>
      <c r="B31" s="11"/>
      <c r="C31" s="3" t="s">
        <v>11</v>
      </c>
      <c r="D31" s="3" t="s">
        <v>141</v>
      </c>
    </row>
    <row r="32" spans="1:17" x14ac:dyDescent="0.2">
      <c r="A32" s="11" t="s">
        <v>393</v>
      </c>
      <c r="B32" s="11"/>
      <c r="C32" s="3" t="s">
        <v>11</v>
      </c>
      <c r="D32" s="3" t="s">
        <v>17</v>
      </c>
    </row>
    <row r="34" spans="1:17" x14ac:dyDescent="0.2">
      <c r="A34" s="30"/>
      <c r="B34" s="30"/>
      <c r="C34" s="29" t="s">
        <v>15</v>
      </c>
    </row>
    <row r="35" spans="1:17" x14ac:dyDescent="0.2">
      <c r="A35" s="31" t="s">
        <v>0</v>
      </c>
      <c r="B35" s="31"/>
      <c r="C35" s="31" t="s">
        <v>12</v>
      </c>
      <c r="D35" s="31" t="s">
        <v>13</v>
      </c>
    </row>
    <row r="36" spans="1:17" x14ac:dyDescent="0.2">
      <c r="A36" s="11" t="s">
        <v>120</v>
      </c>
      <c r="B36" s="11"/>
      <c r="C36" s="3" t="s">
        <v>97</v>
      </c>
      <c r="D36" s="3" t="s">
        <v>136</v>
      </c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</sheetData>
  <mergeCells count="3">
    <mergeCell ref="F1:H1"/>
    <mergeCell ref="J1:L1"/>
    <mergeCell ref="N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77"/>
  <sheetViews>
    <sheetView topLeftCell="A64" workbookViewId="0">
      <selection activeCell="E95" sqref="E95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9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17.57031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396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398</v>
      </c>
      <c r="B4" s="4" t="s">
        <v>752</v>
      </c>
      <c r="C4" s="5" t="s">
        <v>399</v>
      </c>
      <c r="D4" s="5" t="s">
        <v>400</v>
      </c>
      <c r="E4" s="42" t="s">
        <v>754</v>
      </c>
      <c r="F4" s="42" t="s">
        <v>46</v>
      </c>
      <c r="G4" s="5" t="s">
        <v>153</v>
      </c>
      <c r="H4" s="6" t="s">
        <v>47</v>
      </c>
      <c r="I4" s="6"/>
      <c r="J4" s="9" t="str">
        <f>"57,5"</f>
        <v>57,5</v>
      </c>
      <c r="K4" s="10" t="str">
        <f>"68,3330"</f>
        <v>68,3330</v>
      </c>
      <c r="L4" s="4"/>
    </row>
    <row r="5" spans="1:20" s="3" customFormat="1" x14ac:dyDescent="0.2">
      <c r="A5" s="2"/>
      <c r="B5" s="4" t="s">
        <v>752</v>
      </c>
      <c r="E5" s="2"/>
      <c r="J5" s="7"/>
      <c r="K5" s="8"/>
      <c r="L5" s="2"/>
    </row>
    <row r="6" spans="1:20" x14ac:dyDescent="0.2">
      <c r="A6" s="29" t="s">
        <v>166</v>
      </c>
      <c r="B6" s="4" t="s">
        <v>752</v>
      </c>
      <c r="C6" s="32"/>
      <c r="D6" s="32"/>
      <c r="E6" s="32"/>
      <c r="F6" s="32"/>
      <c r="G6" s="32"/>
      <c r="H6" s="32"/>
      <c r="I6" s="32"/>
    </row>
    <row r="7" spans="1:20" x14ac:dyDescent="0.2">
      <c r="A7" s="4" t="s">
        <v>402</v>
      </c>
      <c r="B7" s="4" t="s">
        <v>752</v>
      </c>
      <c r="C7" s="5" t="s">
        <v>403</v>
      </c>
      <c r="D7" s="5" t="s">
        <v>404</v>
      </c>
      <c r="E7" s="4" t="s">
        <v>764</v>
      </c>
      <c r="F7" s="5" t="s">
        <v>152</v>
      </c>
      <c r="G7" s="5" t="s">
        <v>153</v>
      </c>
      <c r="H7" s="6" t="s">
        <v>47</v>
      </c>
      <c r="I7" s="6"/>
      <c r="J7" s="9" t="str">
        <f>"57,5"</f>
        <v>57,5</v>
      </c>
      <c r="K7" s="10" t="str">
        <f>"63,6870"</f>
        <v>63,6870</v>
      </c>
      <c r="L7" s="4"/>
    </row>
    <row r="8" spans="1:20" x14ac:dyDescent="0.2">
      <c r="B8" s="4" t="s">
        <v>752</v>
      </c>
    </row>
    <row r="9" spans="1:20" x14ac:dyDescent="0.2">
      <c r="A9" s="33" t="s">
        <v>105</v>
      </c>
      <c r="B9" s="4" t="s">
        <v>752</v>
      </c>
      <c r="C9" s="34"/>
      <c r="D9" s="34"/>
      <c r="E9" s="34"/>
      <c r="F9" s="34"/>
      <c r="G9" s="34"/>
      <c r="H9" s="34"/>
      <c r="I9" s="34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14" t="s">
        <v>406</v>
      </c>
      <c r="B10" s="4" t="s">
        <v>752</v>
      </c>
      <c r="C10" s="12" t="s">
        <v>407</v>
      </c>
      <c r="D10" s="12" t="s">
        <v>408</v>
      </c>
      <c r="E10" s="14" t="s">
        <v>754</v>
      </c>
      <c r="F10" s="15" t="s">
        <v>46</v>
      </c>
      <c r="G10" s="15" t="s">
        <v>46</v>
      </c>
      <c r="H10" s="12" t="s">
        <v>46</v>
      </c>
      <c r="I10" s="15"/>
      <c r="J10" s="16" t="str">
        <f>"55,0"</f>
        <v>55,0</v>
      </c>
      <c r="K10" s="17" t="str">
        <f>"57,6620"</f>
        <v>57,6620</v>
      </c>
      <c r="L10" s="14"/>
    </row>
    <row r="11" spans="1:20" x14ac:dyDescent="0.2">
      <c r="A11" s="18" t="s">
        <v>410</v>
      </c>
      <c r="B11" s="4" t="s">
        <v>752</v>
      </c>
      <c r="C11" s="13" t="s">
        <v>411</v>
      </c>
      <c r="D11" s="13" t="s">
        <v>392</v>
      </c>
      <c r="E11" s="18" t="s">
        <v>754</v>
      </c>
      <c r="F11" s="13" t="s">
        <v>151</v>
      </c>
      <c r="G11" s="19" t="s">
        <v>152</v>
      </c>
      <c r="H11" s="19" t="s">
        <v>152</v>
      </c>
      <c r="I11" s="19"/>
      <c r="J11" s="20" t="str">
        <f>"47,5"</f>
        <v>47,5</v>
      </c>
      <c r="K11" s="21" t="str">
        <f>"50,5305"</f>
        <v>50,5305</v>
      </c>
      <c r="L11" s="18"/>
    </row>
    <row r="12" spans="1:20" x14ac:dyDescent="0.2">
      <c r="A12" s="35"/>
      <c r="B12" s="4" t="s">
        <v>752</v>
      </c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3" spans="1:20" x14ac:dyDescent="0.2">
      <c r="A13" s="29" t="s">
        <v>142</v>
      </c>
      <c r="B13" s="4" t="s">
        <v>752</v>
      </c>
      <c r="C13" s="32"/>
      <c r="D13" s="32"/>
      <c r="E13" s="32"/>
      <c r="F13" s="32"/>
      <c r="G13" s="32"/>
      <c r="H13" s="32"/>
      <c r="I13" s="32"/>
    </row>
    <row r="14" spans="1:20" x14ac:dyDescent="0.2">
      <c r="A14" s="4" t="s">
        <v>413</v>
      </c>
      <c r="B14" s="4" t="s">
        <v>752</v>
      </c>
      <c r="C14" s="5" t="s">
        <v>414</v>
      </c>
      <c r="D14" s="5" t="s">
        <v>415</v>
      </c>
      <c r="E14" s="4" t="s">
        <v>765</v>
      </c>
      <c r="F14" s="5" t="s">
        <v>151</v>
      </c>
      <c r="G14" s="6" t="s">
        <v>152</v>
      </c>
      <c r="H14" s="6" t="s">
        <v>152</v>
      </c>
      <c r="I14" s="6"/>
      <c r="J14" s="9" t="str">
        <f>"47,5"</f>
        <v>47,5</v>
      </c>
      <c r="K14" s="10" t="str">
        <f>"49,0215"</f>
        <v>49,0215</v>
      </c>
      <c r="L14" s="4"/>
    </row>
    <row r="15" spans="1:20" x14ac:dyDescent="0.2">
      <c r="A15" s="35"/>
      <c r="B15" s="4" t="s">
        <v>752</v>
      </c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29" t="s">
        <v>154</v>
      </c>
      <c r="B16" s="4" t="s">
        <v>752</v>
      </c>
      <c r="C16" s="32"/>
      <c r="D16" s="32"/>
      <c r="E16" s="32"/>
      <c r="F16" s="32"/>
      <c r="G16" s="32"/>
      <c r="H16" s="32"/>
      <c r="I16" s="32"/>
    </row>
    <row r="17" spans="1:17" x14ac:dyDescent="0.2">
      <c r="A17" s="4" t="s">
        <v>417</v>
      </c>
      <c r="B17" s="4" t="s">
        <v>752</v>
      </c>
      <c r="C17" s="5" t="s">
        <v>418</v>
      </c>
      <c r="D17" s="5" t="s">
        <v>419</v>
      </c>
      <c r="E17" s="4" t="s">
        <v>756</v>
      </c>
      <c r="F17" s="5" t="s">
        <v>49</v>
      </c>
      <c r="G17" s="6" t="s">
        <v>18</v>
      </c>
      <c r="H17" s="6" t="s">
        <v>18</v>
      </c>
      <c r="I17" s="6"/>
      <c r="J17" s="9" t="str">
        <f>"75,0"</f>
        <v>75,0</v>
      </c>
      <c r="K17" s="10" t="str">
        <f>"73,9502"</f>
        <v>73,9502</v>
      </c>
      <c r="L17" s="4"/>
    </row>
    <row r="18" spans="1:17" x14ac:dyDescent="0.2">
      <c r="A18" s="35"/>
      <c r="B18" s="4" t="s">
        <v>752</v>
      </c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29" t="s">
        <v>111</v>
      </c>
      <c r="B19" s="4" t="s">
        <v>752</v>
      </c>
      <c r="C19" s="32"/>
      <c r="D19" s="32"/>
      <c r="E19" s="32"/>
      <c r="F19" s="32"/>
      <c r="G19" s="32"/>
      <c r="H19" s="32"/>
      <c r="I19" s="32"/>
    </row>
    <row r="20" spans="1:17" x14ac:dyDescent="0.2">
      <c r="A20" s="14" t="s">
        <v>421</v>
      </c>
      <c r="B20" s="4" t="s">
        <v>752</v>
      </c>
      <c r="C20" s="12" t="s">
        <v>422</v>
      </c>
      <c r="D20" s="12" t="s">
        <v>423</v>
      </c>
      <c r="E20" s="14" t="s">
        <v>754</v>
      </c>
      <c r="F20" s="12" t="s">
        <v>18</v>
      </c>
      <c r="G20" s="12" t="s">
        <v>50</v>
      </c>
      <c r="H20" s="12" t="s">
        <v>19</v>
      </c>
      <c r="I20" s="15"/>
      <c r="J20" s="16" t="str">
        <f>"90,0"</f>
        <v>90,0</v>
      </c>
      <c r="K20" s="17" t="str">
        <f>"78,3360"</f>
        <v>78,3360</v>
      </c>
      <c r="L20" s="14" t="s">
        <v>424</v>
      </c>
    </row>
    <row r="21" spans="1:17" x14ac:dyDescent="0.2">
      <c r="A21" s="47" t="s">
        <v>340</v>
      </c>
      <c r="B21" s="4" t="s">
        <v>752</v>
      </c>
      <c r="C21" s="47" t="s">
        <v>341</v>
      </c>
      <c r="D21" s="47" t="s">
        <v>342</v>
      </c>
      <c r="E21" s="47" t="s">
        <v>761</v>
      </c>
      <c r="F21" s="47" t="s">
        <v>48</v>
      </c>
      <c r="G21" s="47" t="s">
        <v>104</v>
      </c>
      <c r="H21" s="47" t="s">
        <v>49</v>
      </c>
      <c r="I21" s="48"/>
      <c r="J21" s="49" t="str">
        <f>"75,0"</f>
        <v>75,0</v>
      </c>
      <c r="K21" s="49" t="str">
        <f>"74,2051"</f>
        <v>74,2051</v>
      </c>
      <c r="L21" s="47"/>
      <c r="M21" s="37"/>
      <c r="N21" s="37"/>
      <c r="O21" s="37"/>
      <c r="P21" s="37"/>
      <c r="Q21" s="37"/>
    </row>
    <row r="22" spans="1:17" x14ac:dyDescent="0.2">
      <c r="A22" s="18" t="s">
        <v>421</v>
      </c>
      <c r="B22" s="4" t="s">
        <v>752</v>
      </c>
      <c r="C22" s="13" t="s">
        <v>425</v>
      </c>
      <c r="D22" s="13" t="s">
        <v>423</v>
      </c>
      <c r="E22" s="18" t="s">
        <v>754</v>
      </c>
      <c r="F22" s="13" t="s">
        <v>18</v>
      </c>
      <c r="G22" s="13" t="s">
        <v>50</v>
      </c>
      <c r="H22" s="13" t="s">
        <v>19</v>
      </c>
      <c r="I22" s="19"/>
      <c r="J22" s="20" t="str">
        <f>"90,0"</f>
        <v>90,0</v>
      </c>
      <c r="K22" s="21" t="str">
        <f>"95,9616"</f>
        <v>95,9616</v>
      </c>
      <c r="L22" s="18" t="s">
        <v>424</v>
      </c>
    </row>
    <row r="23" spans="1:17" x14ac:dyDescent="0.2">
      <c r="B23" s="4" t="s">
        <v>752</v>
      </c>
    </row>
    <row r="24" spans="1:17" x14ac:dyDescent="0.2">
      <c r="A24" s="29" t="s">
        <v>426</v>
      </c>
      <c r="B24" s="4" t="s">
        <v>752</v>
      </c>
      <c r="C24" s="32"/>
      <c r="D24" s="32"/>
      <c r="E24" s="32"/>
      <c r="F24" s="32"/>
      <c r="G24" s="32"/>
      <c r="H24" s="32"/>
      <c r="I24" s="32"/>
    </row>
    <row r="25" spans="1:17" x14ac:dyDescent="0.2">
      <c r="A25" s="4" t="s">
        <v>428</v>
      </c>
      <c r="B25" s="4" t="s">
        <v>752</v>
      </c>
      <c r="C25" s="5" t="s">
        <v>429</v>
      </c>
      <c r="D25" s="5" t="s">
        <v>430</v>
      </c>
      <c r="E25" s="4" t="s">
        <v>754</v>
      </c>
      <c r="F25" s="5" t="s">
        <v>288</v>
      </c>
      <c r="G25" s="5" t="s">
        <v>21</v>
      </c>
      <c r="H25" s="5" t="s">
        <v>31</v>
      </c>
      <c r="I25" s="6"/>
      <c r="J25" s="9" t="str">
        <f>"120,0"</f>
        <v>120,0</v>
      </c>
      <c r="K25" s="10" t="str">
        <f>"80,2740"</f>
        <v>80,2740</v>
      </c>
      <c r="L25" s="4"/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29" t="s">
        <v>105</v>
      </c>
      <c r="B27" s="29"/>
      <c r="C27" s="32"/>
      <c r="D27" s="32"/>
      <c r="E27" s="32"/>
      <c r="F27" s="32"/>
      <c r="G27" s="32"/>
      <c r="H27" s="32"/>
      <c r="I27" s="32"/>
    </row>
    <row r="28" spans="1:17" x14ac:dyDescent="0.2">
      <c r="A28" s="4" t="s">
        <v>432</v>
      </c>
      <c r="B28" s="4" t="s">
        <v>753</v>
      </c>
      <c r="C28" s="5" t="s">
        <v>433</v>
      </c>
      <c r="D28" s="5" t="s">
        <v>434</v>
      </c>
      <c r="E28" s="4" t="s">
        <v>756</v>
      </c>
      <c r="F28" s="5" t="s">
        <v>334</v>
      </c>
      <c r="G28" s="6" t="s">
        <v>104</v>
      </c>
      <c r="H28" s="5" t="s">
        <v>104</v>
      </c>
      <c r="I28" s="6"/>
      <c r="J28" s="9" t="str">
        <f>"70,0"</f>
        <v>70,0</v>
      </c>
      <c r="K28" s="10" t="str">
        <f>"64,2880"</f>
        <v>64,2880</v>
      </c>
      <c r="L28" s="4"/>
    </row>
    <row r="29" spans="1:17" x14ac:dyDescent="0.2">
      <c r="B29" s="4" t="s">
        <v>753</v>
      </c>
    </row>
    <row r="30" spans="1:17" x14ac:dyDescent="0.2">
      <c r="A30" s="33" t="s">
        <v>142</v>
      </c>
      <c r="B30" s="4" t="s">
        <v>753</v>
      </c>
      <c r="C30" s="34"/>
      <c r="D30" s="34"/>
      <c r="E30" s="34"/>
      <c r="F30" s="34"/>
      <c r="G30" s="34"/>
      <c r="H30" s="34"/>
      <c r="I30" s="34"/>
      <c r="J30" s="36"/>
      <c r="K30" s="36"/>
      <c r="L30" s="35"/>
      <c r="M30" s="37"/>
      <c r="N30" s="37"/>
      <c r="O30" s="37"/>
      <c r="P30" s="37"/>
      <c r="Q30" s="37"/>
    </row>
    <row r="31" spans="1:17" x14ac:dyDescent="0.2">
      <c r="A31" s="4" t="s">
        <v>436</v>
      </c>
      <c r="B31" s="4" t="s">
        <v>753</v>
      </c>
      <c r="C31" s="5" t="s">
        <v>437</v>
      </c>
      <c r="D31" s="5" t="s">
        <v>438</v>
      </c>
      <c r="E31" s="4" t="s">
        <v>766</v>
      </c>
      <c r="F31" s="5" t="s">
        <v>110</v>
      </c>
      <c r="G31" s="5" t="s">
        <v>439</v>
      </c>
      <c r="H31" s="6"/>
      <c r="I31" s="6"/>
      <c r="J31" s="9" t="str">
        <f>"120,0"</f>
        <v>120,0</v>
      </c>
      <c r="K31" s="10" t="str">
        <f>"102,1140"</f>
        <v>102,1140</v>
      </c>
      <c r="L31" s="4"/>
    </row>
    <row r="32" spans="1:17" x14ac:dyDescent="0.2">
      <c r="B32" s="4" t="s">
        <v>753</v>
      </c>
    </row>
    <row r="33" spans="1:17" x14ac:dyDescent="0.2">
      <c r="A33" s="29" t="s">
        <v>154</v>
      </c>
      <c r="B33" s="4" t="s">
        <v>753</v>
      </c>
      <c r="C33" s="32"/>
      <c r="D33" s="32"/>
      <c r="E33" s="32"/>
      <c r="F33" s="32"/>
      <c r="G33" s="32"/>
      <c r="H33" s="32"/>
      <c r="I33" s="32"/>
    </row>
    <row r="34" spans="1:17" x14ac:dyDescent="0.2">
      <c r="A34" s="14" t="s">
        <v>441</v>
      </c>
      <c r="B34" s="4" t="s">
        <v>753</v>
      </c>
      <c r="C34" s="12" t="s">
        <v>442</v>
      </c>
      <c r="D34" s="12" t="s">
        <v>443</v>
      </c>
      <c r="E34" s="14" t="s">
        <v>754</v>
      </c>
      <c r="F34" s="12" t="s">
        <v>243</v>
      </c>
      <c r="G34" s="12" t="s">
        <v>104</v>
      </c>
      <c r="H34" s="15" t="s">
        <v>49</v>
      </c>
      <c r="I34" s="15"/>
      <c r="J34" s="16" t="str">
        <f>"70,0"</f>
        <v>70,0</v>
      </c>
      <c r="K34" s="17" t="str">
        <f>"54,5790"</f>
        <v>54,5790</v>
      </c>
      <c r="L34" s="14"/>
    </row>
    <row r="35" spans="1:17" x14ac:dyDescent="0.2">
      <c r="A35" s="23" t="s">
        <v>270</v>
      </c>
      <c r="B35" s="4" t="s">
        <v>753</v>
      </c>
      <c r="C35" s="22" t="s">
        <v>271</v>
      </c>
      <c r="D35" s="22" t="s">
        <v>272</v>
      </c>
      <c r="E35" s="23" t="s">
        <v>754</v>
      </c>
      <c r="F35" s="22" t="s">
        <v>20</v>
      </c>
      <c r="G35" s="24" t="s">
        <v>68</v>
      </c>
      <c r="H35" s="22" t="s">
        <v>68</v>
      </c>
      <c r="I35" s="24"/>
      <c r="J35" s="25" t="str">
        <f>"107,5"</f>
        <v>107,5</v>
      </c>
      <c r="K35" s="26" t="str">
        <f>"82,0225"</f>
        <v>82,0225</v>
      </c>
      <c r="L35" s="23"/>
    </row>
    <row r="36" spans="1:17" x14ac:dyDescent="0.2">
      <c r="A36" s="23" t="s">
        <v>445</v>
      </c>
      <c r="B36" s="4" t="s">
        <v>753</v>
      </c>
      <c r="C36" s="22" t="s">
        <v>446</v>
      </c>
      <c r="D36" s="22" t="s">
        <v>158</v>
      </c>
      <c r="E36" s="23" t="s">
        <v>754</v>
      </c>
      <c r="F36" s="22" t="s">
        <v>68</v>
      </c>
      <c r="G36" s="24" t="s">
        <v>241</v>
      </c>
      <c r="H36" s="22" t="s">
        <v>241</v>
      </c>
      <c r="I36" s="24"/>
      <c r="J36" s="25" t="str">
        <f>"112,5"</f>
        <v>112,5</v>
      </c>
      <c r="K36" s="26" t="str">
        <f>"85,5000"</f>
        <v>85,5000</v>
      </c>
      <c r="L36" s="23"/>
    </row>
    <row r="37" spans="1:17" x14ac:dyDescent="0.2">
      <c r="A37" s="44" t="s">
        <v>448</v>
      </c>
      <c r="B37" s="4" t="s">
        <v>753</v>
      </c>
      <c r="C37" s="44" t="s">
        <v>449</v>
      </c>
      <c r="D37" s="44" t="s">
        <v>450</v>
      </c>
      <c r="E37" s="44" t="s">
        <v>754</v>
      </c>
      <c r="F37" s="44" t="s">
        <v>21</v>
      </c>
      <c r="G37" s="45" t="s">
        <v>31</v>
      </c>
      <c r="H37" s="45" t="s">
        <v>58</v>
      </c>
      <c r="I37" s="45"/>
      <c r="J37" s="46" t="str">
        <f>"110,0"</f>
        <v>110,0</v>
      </c>
      <c r="K37" s="46" t="str">
        <f>"82,5385"</f>
        <v>82,5385</v>
      </c>
      <c r="L37" s="44"/>
      <c r="M37" s="37"/>
      <c r="N37" s="37"/>
      <c r="O37" s="37"/>
      <c r="P37" s="37"/>
      <c r="Q37" s="37"/>
    </row>
    <row r="38" spans="1:17" x14ac:dyDescent="0.2">
      <c r="B38" s="4" t="s">
        <v>753</v>
      </c>
    </row>
    <row r="39" spans="1:17" x14ac:dyDescent="0.2">
      <c r="A39" s="29" t="s">
        <v>111</v>
      </c>
      <c r="B39" s="4" t="s">
        <v>753</v>
      </c>
      <c r="C39" s="32"/>
      <c r="D39" s="32"/>
      <c r="E39" s="32"/>
      <c r="F39" s="32"/>
      <c r="G39" s="32"/>
      <c r="H39" s="32"/>
      <c r="I39" s="32"/>
    </row>
    <row r="40" spans="1:17" x14ac:dyDescent="0.2">
      <c r="A40" s="4" t="s">
        <v>452</v>
      </c>
      <c r="B40" s="4" t="s">
        <v>753</v>
      </c>
      <c r="C40" s="5" t="s">
        <v>453</v>
      </c>
      <c r="D40" s="5" t="s">
        <v>178</v>
      </c>
      <c r="E40" s="4" t="s">
        <v>766</v>
      </c>
      <c r="F40" s="5" t="s">
        <v>32</v>
      </c>
      <c r="G40" s="6" t="s">
        <v>263</v>
      </c>
      <c r="H40" s="6" t="s">
        <v>263</v>
      </c>
      <c r="I40" s="6"/>
      <c r="J40" s="9" t="str">
        <f>"130,0"</f>
        <v>130,0</v>
      </c>
      <c r="K40" s="10" t="str">
        <f>"109,2845"</f>
        <v>109,2845</v>
      </c>
      <c r="L40" s="4"/>
    </row>
    <row r="41" spans="1:17" x14ac:dyDescent="0.2">
      <c r="B41" s="4" t="s">
        <v>753</v>
      </c>
    </row>
    <row r="42" spans="1:17" x14ac:dyDescent="0.2">
      <c r="A42" s="29" t="s">
        <v>111</v>
      </c>
      <c r="B42" s="4" t="s">
        <v>753</v>
      </c>
      <c r="C42" s="32"/>
      <c r="D42" s="32"/>
      <c r="E42" s="32"/>
      <c r="F42" s="32"/>
      <c r="G42" s="32"/>
      <c r="H42" s="32"/>
      <c r="I42" s="32"/>
    </row>
    <row r="43" spans="1:17" x14ac:dyDescent="0.2">
      <c r="A43" s="14" t="s">
        <v>455</v>
      </c>
      <c r="B43" s="4" t="s">
        <v>753</v>
      </c>
      <c r="C43" s="12" t="s">
        <v>456</v>
      </c>
      <c r="D43" s="12" t="s">
        <v>457</v>
      </c>
      <c r="E43" s="14" t="s">
        <v>759</v>
      </c>
      <c r="F43" s="12" t="s">
        <v>104</v>
      </c>
      <c r="G43" s="12" t="s">
        <v>262</v>
      </c>
      <c r="H43" s="12" t="s">
        <v>458</v>
      </c>
      <c r="I43" s="15"/>
      <c r="J43" s="16" t="str">
        <f>"82,5"</f>
        <v>82,5</v>
      </c>
      <c r="K43" s="17" t="str">
        <f>"61,2109"</f>
        <v>61,2109</v>
      </c>
      <c r="L43" s="14"/>
    </row>
    <row r="44" spans="1:17" x14ac:dyDescent="0.2">
      <c r="A44" s="23" t="s">
        <v>460</v>
      </c>
      <c r="B44" s="4" t="s">
        <v>753</v>
      </c>
      <c r="C44" s="22" t="s">
        <v>461</v>
      </c>
      <c r="D44" s="22" t="s">
        <v>462</v>
      </c>
      <c r="E44" s="23" t="s">
        <v>767</v>
      </c>
      <c r="F44" s="22" t="s">
        <v>263</v>
      </c>
      <c r="G44" s="22" t="s">
        <v>33</v>
      </c>
      <c r="H44" s="24" t="s">
        <v>218</v>
      </c>
      <c r="I44" s="24"/>
      <c r="J44" s="25" t="str">
        <f>"140,0"</f>
        <v>140,0</v>
      </c>
      <c r="K44" s="26" t="str">
        <f>"98,3710"</f>
        <v>98,3710</v>
      </c>
      <c r="L44" s="23"/>
    </row>
    <row r="45" spans="1:17" x14ac:dyDescent="0.2">
      <c r="A45" s="23" t="s">
        <v>464</v>
      </c>
      <c r="B45" s="4" t="s">
        <v>753</v>
      </c>
      <c r="C45" s="22" t="s">
        <v>465</v>
      </c>
      <c r="D45" s="22" t="s">
        <v>466</v>
      </c>
      <c r="E45" s="23" t="s">
        <v>768</v>
      </c>
      <c r="F45" s="22" t="s">
        <v>33</v>
      </c>
      <c r="G45" s="22" t="s">
        <v>467</v>
      </c>
      <c r="H45" s="22" t="s">
        <v>34</v>
      </c>
      <c r="I45" s="24"/>
      <c r="J45" s="25" t="str">
        <f>"150,0"</f>
        <v>150,0</v>
      </c>
      <c r="K45" s="26" t="str">
        <f>"105,2850"</f>
        <v>105,2850</v>
      </c>
      <c r="L45" s="23" t="s">
        <v>468</v>
      </c>
    </row>
    <row r="46" spans="1:17" x14ac:dyDescent="0.2">
      <c r="A46" s="23" t="s">
        <v>469</v>
      </c>
      <c r="B46" s="4" t="s">
        <v>753</v>
      </c>
      <c r="C46" s="22" t="s">
        <v>470</v>
      </c>
      <c r="D46" s="22" t="s">
        <v>462</v>
      </c>
      <c r="E46" s="23" t="s">
        <v>767</v>
      </c>
      <c r="F46" s="22" t="s">
        <v>263</v>
      </c>
      <c r="G46" s="22" t="s">
        <v>33</v>
      </c>
      <c r="H46" s="24" t="s">
        <v>218</v>
      </c>
      <c r="I46" s="24"/>
      <c r="J46" s="25" t="str">
        <f>"140,0"</f>
        <v>140,0</v>
      </c>
      <c r="K46" s="26" t="str">
        <f>"98,3710"</f>
        <v>98,3710</v>
      </c>
      <c r="L46" s="23"/>
    </row>
    <row r="47" spans="1:17" x14ac:dyDescent="0.2">
      <c r="A47" s="23" t="s">
        <v>472</v>
      </c>
      <c r="B47" s="4" t="s">
        <v>753</v>
      </c>
      <c r="C47" s="22" t="s">
        <v>473</v>
      </c>
      <c r="D47" s="22" t="s">
        <v>474</v>
      </c>
      <c r="E47" s="23" t="s">
        <v>754</v>
      </c>
      <c r="F47" s="22" t="s">
        <v>58</v>
      </c>
      <c r="G47" s="24" t="s">
        <v>263</v>
      </c>
      <c r="H47" s="24" t="s">
        <v>263</v>
      </c>
      <c r="I47" s="24"/>
      <c r="J47" s="25" t="str">
        <f>"125,0"</f>
        <v>125,0</v>
      </c>
      <c r="K47" s="26" t="str">
        <f>"86,0687"</f>
        <v>86,0687</v>
      </c>
      <c r="L47" s="23"/>
    </row>
    <row r="48" spans="1:17" x14ac:dyDescent="0.2">
      <c r="A48" s="23" t="s">
        <v>476</v>
      </c>
      <c r="B48" s="4" t="s">
        <v>753</v>
      </c>
      <c r="C48" s="22" t="s">
        <v>477</v>
      </c>
      <c r="D48" s="22" t="s">
        <v>478</v>
      </c>
      <c r="E48" s="23" t="s">
        <v>769</v>
      </c>
      <c r="F48" s="22" t="s">
        <v>263</v>
      </c>
      <c r="G48" s="22" t="s">
        <v>33</v>
      </c>
      <c r="H48" s="24" t="s">
        <v>34</v>
      </c>
      <c r="I48" s="24"/>
      <c r="J48" s="25" t="str">
        <f>"140,0"</f>
        <v>140,0</v>
      </c>
      <c r="K48" s="26" t="str">
        <f>"97,7428"</f>
        <v>97,7428</v>
      </c>
      <c r="L48" s="23"/>
    </row>
    <row r="49" spans="1:12" x14ac:dyDescent="0.2">
      <c r="A49" s="18" t="s">
        <v>480</v>
      </c>
      <c r="B49" s="4" t="s">
        <v>753</v>
      </c>
      <c r="C49" s="13" t="s">
        <v>481</v>
      </c>
      <c r="D49" s="13" t="s">
        <v>178</v>
      </c>
      <c r="E49" s="18" t="s">
        <v>754</v>
      </c>
      <c r="F49" s="19" t="s">
        <v>33</v>
      </c>
      <c r="G49" s="13" t="s">
        <v>273</v>
      </c>
      <c r="H49" s="19" t="s">
        <v>218</v>
      </c>
      <c r="I49" s="19"/>
      <c r="J49" s="20" t="str">
        <f>"145,0"</f>
        <v>145,0</v>
      </c>
      <c r="K49" s="21" t="str">
        <f>"107,2638"</f>
        <v>107,2638</v>
      </c>
      <c r="L49" s="18"/>
    </row>
    <row r="50" spans="1:12" x14ac:dyDescent="0.2">
      <c r="B50" s="4" t="s">
        <v>753</v>
      </c>
    </row>
    <row r="51" spans="1:12" x14ac:dyDescent="0.2">
      <c r="A51" s="29" t="s">
        <v>51</v>
      </c>
      <c r="B51" s="4" t="s">
        <v>753</v>
      </c>
      <c r="C51" s="32"/>
      <c r="D51" s="32"/>
      <c r="E51" s="32"/>
      <c r="F51" s="32"/>
      <c r="G51" s="32"/>
      <c r="H51" s="32"/>
      <c r="I51" s="32"/>
    </row>
    <row r="52" spans="1:12" x14ac:dyDescent="0.2">
      <c r="A52" s="14" t="s">
        <v>482</v>
      </c>
      <c r="B52" s="4" t="s">
        <v>753</v>
      </c>
      <c r="C52" s="12" t="s">
        <v>483</v>
      </c>
      <c r="D52" s="12" t="s">
        <v>287</v>
      </c>
      <c r="E52" s="14" t="s">
        <v>754</v>
      </c>
      <c r="F52" s="15" t="s">
        <v>241</v>
      </c>
      <c r="G52" s="15" t="s">
        <v>241</v>
      </c>
      <c r="H52" s="15" t="s">
        <v>241</v>
      </c>
      <c r="I52" s="15"/>
      <c r="J52" s="16" t="str">
        <f>"0.00"</f>
        <v>0.00</v>
      </c>
      <c r="K52" s="17" t="str">
        <f>"0,0000"</f>
        <v>0,0000</v>
      </c>
      <c r="L52" s="14" t="s">
        <v>484</v>
      </c>
    </row>
    <row r="53" spans="1:12" x14ac:dyDescent="0.2">
      <c r="A53" s="23" t="s">
        <v>486</v>
      </c>
      <c r="B53" s="4" t="s">
        <v>753</v>
      </c>
      <c r="C53" s="22" t="s">
        <v>487</v>
      </c>
      <c r="D53" s="22" t="s">
        <v>488</v>
      </c>
      <c r="E53" s="23" t="s">
        <v>756</v>
      </c>
      <c r="F53" s="22" t="s">
        <v>76</v>
      </c>
      <c r="G53" s="24" t="s">
        <v>77</v>
      </c>
      <c r="H53" s="24" t="s">
        <v>77</v>
      </c>
      <c r="I53" s="24"/>
      <c r="J53" s="25" t="str">
        <f>"157,5"</f>
        <v>157,5</v>
      </c>
      <c r="K53" s="26" t="str">
        <f>"103,1704"</f>
        <v>103,1704</v>
      </c>
      <c r="L53" s="23"/>
    </row>
    <row r="54" spans="1:12" x14ac:dyDescent="0.2">
      <c r="A54" s="23" t="s">
        <v>490</v>
      </c>
      <c r="B54" s="4" t="s">
        <v>753</v>
      </c>
      <c r="C54" s="22" t="s">
        <v>491</v>
      </c>
      <c r="D54" s="22" t="s">
        <v>492</v>
      </c>
      <c r="E54" s="23" t="s">
        <v>754</v>
      </c>
      <c r="F54" s="22" t="s">
        <v>263</v>
      </c>
      <c r="G54" s="22" t="s">
        <v>33</v>
      </c>
      <c r="H54" s="22" t="s">
        <v>273</v>
      </c>
      <c r="I54" s="24"/>
      <c r="J54" s="25" t="str">
        <f>"145,0"</f>
        <v>145,0</v>
      </c>
      <c r="K54" s="26" t="str">
        <f>"94,2863"</f>
        <v>94,2863</v>
      </c>
      <c r="L54" s="23"/>
    </row>
    <row r="55" spans="1:12" x14ac:dyDescent="0.2">
      <c r="A55" s="23" t="s">
        <v>494</v>
      </c>
      <c r="B55" s="4" t="s">
        <v>753</v>
      </c>
      <c r="C55" s="22" t="s">
        <v>495</v>
      </c>
      <c r="D55" s="22" t="s">
        <v>496</v>
      </c>
      <c r="E55" s="23" t="s">
        <v>767</v>
      </c>
      <c r="F55" s="22" t="s">
        <v>33</v>
      </c>
      <c r="G55" s="24" t="s">
        <v>273</v>
      </c>
      <c r="H55" s="24" t="s">
        <v>273</v>
      </c>
      <c r="I55" s="24"/>
      <c r="J55" s="25" t="str">
        <f>"140,0"</f>
        <v>140,0</v>
      </c>
      <c r="K55" s="26" t="str">
        <f>"92,5680"</f>
        <v>92,5680</v>
      </c>
      <c r="L55" s="23"/>
    </row>
    <row r="56" spans="1:12" x14ac:dyDescent="0.2">
      <c r="A56" s="23" t="s">
        <v>497</v>
      </c>
      <c r="B56" s="4" t="s">
        <v>753</v>
      </c>
      <c r="C56" s="22" t="s">
        <v>498</v>
      </c>
      <c r="D56" s="22" t="s">
        <v>282</v>
      </c>
      <c r="E56" s="23" t="s">
        <v>770</v>
      </c>
      <c r="F56" s="24" t="s">
        <v>245</v>
      </c>
      <c r="G56" s="24" t="s">
        <v>245</v>
      </c>
      <c r="H56" s="24" t="s">
        <v>245</v>
      </c>
      <c r="I56" s="24"/>
      <c r="J56" s="25" t="str">
        <f>"0.00"</f>
        <v>0.00</v>
      </c>
      <c r="K56" s="26" t="str">
        <f>"0,0000"</f>
        <v>0,0000</v>
      </c>
      <c r="L56" s="23"/>
    </row>
    <row r="57" spans="1:12" x14ac:dyDescent="0.2">
      <c r="A57" s="23" t="s">
        <v>499</v>
      </c>
      <c r="B57" s="4" t="s">
        <v>753</v>
      </c>
      <c r="C57" s="22" t="s">
        <v>500</v>
      </c>
      <c r="D57" s="22" t="s">
        <v>501</v>
      </c>
      <c r="E57" s="23" t="s">
        <v>754</v>
      </c>
      <c r="F57" s="24" t="s">
        <v>263</v>
      </c>
      <c r="G57" s="24" t="s">
        <v>33</v>
      </c>
      <c r="H57" s="24" t="s">
        <v>273</v>
      </c>
      <c r="I57" s="24"/>
      <c r="J57" s="25" t="str">
        <f>"0.00"</f>
        <v>0.00</v>
      </c>
      <c r="K57" s="26" t="str">
        <f>"0,0000"</f>
        <v>0,0000</v>
      </c>
      <c r="L57" s="23"/>
    </row>
    <row r="58" spans="1:12" x14ac:dyDescent="0.2">
      <c r="A58" s="18" t="s">
        <v>503</v>
      </c>
      <c r="B58" s="4" t="s">
        <v>753</v>
      </c>
      <c r="C58" s="13" t="s">
        <v>504</v>
      </c>
      <c r="D58" s="13" t="s">
        <v>505</v>
      </c>
      <c r="E58" s="18" t="s">
        <v>771</v>
      </c>
      <c r="F58" s="19" t="s">
        <v>33</v>
      </c>
      <c r="G58" s="19" t="s">
        <v>33</v>
      </c>
      <c r="H58" s="19" t="s">
        <v>273</v>
      </c>
      <c r="I58" s="19"/>
      <c r="J58" s="20" t="str">
        <f>"0.00"</f>
        <v>0.00</v>
      </c>
      <c r="K58" s="21" t="str">
        <f>"0,0000"</f>
        <v>0,0000</v>
      </c>
      <c r="L58" s="18"/>
    </row>
    <row r="59" spans="1:12" x14ac:dyDescent="0.2">
      <c r="B59" s="4" t="s">
        <v>753</v>
      </c>
    </row>
    <row r="60" spans="1:12" x14ac:dyDescent="0.2">
      <c r="A60" s="29" t="s">
        <v>99</v>
      </c>
      <c r="B60" s="4" t="s">
        <v>753</v>
      </c>
      <c r="C60" s="32"/>
      <c r="D60" s="32"/>
      <c r="E60" s="32"/>
      <c r="F60" s="32"/>
      <c r="G60" s="32"/>
      <c r="H60" s="32"/>
      <c r="I60" s="32"/>
    </row>
    <row r="61" spans="1:12" x14ac:dyDescent="0.2">
      <c r="A61" s="14" t="s">
        <v>507</v>
      </c>
      <c r="B61" s="4" t="s">
        <v>753</v>
      </c>
      <c r="C61" s="12" t="s">
        <v>508</v>
      </c>
      <c r="D61" s="12" t="s">
        <v>509</v>
      </c>
      <c r="E61" s="14" t="s">
        <v>757</v>
      </c>
      <c r="F61" s="15" t="s">
        <v>244</v>
      </c>
      <c r="G61" s="12" t="s">
        <v>58</v>
      </c>
      <c r="H61" s="15" t="s">
        <v>278</v>
      </c>
      <c r="I61" s="15"/>
      <c r="J61" s="16" t="str">
        <f>"125,0"</f>
        <v>125,0</v>
      </c>
      <c r="K61" s="17" t="str">
        <f>"76,5312"</f>
        <v>76,5312</v>
      </c>
      <c r="L61" s="14"/>
    </row>
    <row r="62" spans="1:12" x14ac:dyDescent="0.2">
      <c r="A62" s="23" t="s">
        <v>511</v>
      </c>
      <c r="B62" s="4" t="s">
        <v>753</v>
      </c>
      <c r="C62" s="22" t="s">
        <v>512</v>
      </c>
      <c r="D62" s="22" t="s">
        <v>513</v>
      </c>
      <c r="E62" s="23" t="s">
        <v>772</v>
      </c>
      <c r="F62" s="24" t="s">
        <v>24</v>
      </c>
      <c r="G62" s="22" t="s">
        <v>24</v>
      </c>
      <c r="H62" s="24" t="s">
        <v>25</v>
      </c>
      <c r="I62" s="24"/>
      <c r="J62" s="25" t="str">
        <f>"175,0"</f>
        <v>175,0</v>
      </c>
      <c r="K62" s="26" t="str">
        <f>"108,1675"</f>
        <v>108,1675</v>
      </c>
      <c r="L62" s="23"/>
    </row>
    <row r="63" spans="1:12" x14ac:dyDescent="0.2">
      <c r="A63" s="23" t="s">
        <v>515</v>
      </c>
      <c r="B63" s="4" t="s">
        <v>753</v>
      </c>
      <c r="C63" s="22" t="s">
        <v>516</v>
      </c>
      <c r="D63" s="22" t="s">
        <v>230</v>
      </c>
      <c r="E63" s="23" t="s">
        <v>760</v>
      </c>
      <c r="F63" s="24" t="s">
        <v>22</v>
      </c>
      <c r="G63" s="22" t="s">
        <v>22</v>
      </c>
      <c r="H63" s="24" t="s">
        <v>23</v>
      </c>
      <c r="I63" s="24"/>
      <c r="J63" s="25" t="str">
        <f>"165,0"</f>
        <v>165,0</v>
      </c>
      <c r="K63" s="26" t="str">
        <f>"104,0077"</f>
        <v>104,0077</v>
      </c>
      <c r="L63" s="23"/>
    </row>
    <row r="64" spans="1:12" x14ac:dyDescent="0.2">
      <c r="A64" s="23" t="s">
        <v>518</v>
      </c>
      <c r="B64" s="4" t="s">
        <v>753</v>
      </c>
      <c r="C64" s="22" t="s">
        <v>519</v>
      </c>
      <c r="D64" s="22" t="s">
        <v>190</v>
      </c>
      <c r="E64" s="23" t="s">
        <v>770</v>
      </c>
      <c r="F64" s="22" t="s">
        <v>218</v>
      </c>
      <c r="G64" s="22" t="s">
        <v>22</v>
      </c>
      <c r="H64" s="24" t="s">
        <v>209</v>
      </c>
      <c r="I64" s="24"/>
      <c r="J64" s="25" t="str">
        <f>"165,0"</f>
        <v>165,0</v>
      </c>
      <c r="K64" s="26" t="str">
        <f>"102,1102"</f>
        <v>102,1102</v>
      </c>
      <c r="L64" s="23"/>
    </row>
    <row r="65" spans="1:12" x14ac:dyDescent="0.2">
      <c r="A65" s="23" t="s">
        <v>521</v>
      </c>
      <c r="B65" s="4" t="s">
        <v>753</v>
      </c>
      <c r="C65" s="22" t="s">
        <v>522</v>
      </c>
      <c r="D65" s="22" t="s">
        <v>523</v>
      </c>
      <c r="E65" s="23" t="s">
        <v>754</v>
      </c>
      <c r="F65" s="24" t="s">
        <v>273</v>
      </c>
      <c r="G65" s="22" t="s">
        <v>273</v>
      </c>
      <c r="H65" s="24" t="s">
        <v>186</v>
      </c>
      <c r="I65" s="24"/>
      <c r="J65" s="25" t="str">
        <f>"145,0"</f>
        <v>145,0</v>
      </c>
      <c r="K65" s="26" t="str">
        <f>"89,3853"</f>
        <v>89,3853</v>
      </c>
      <c r="L65" s="23"/>
    </row>
    <row r="66" spans="1:12" x14ac:dyDescent="0.2">
      <c r="A66" s="23" t="s">
        <v>525</v>
      </c>
      <c r="B66" s="4" t="s">
        <v>753</v>
      </c>
      <c r="C66" s="22" t="s">
        <v>526</v>
      </c>
      <c r="D66" s="22" t="s">
        <v>527</v>
      </c>
      <c r="E66" s="23" t="s">
        <v>754</v>
      </c>
      <c r="F66" s="22" t="s">
        <v>33</v>
      </c>
      <c r="G66" s="24" t="s">
        <v>467</v>
      </c>
      <c r="H66" s="24" t="s">
        <v>186</v>
      </c>
      <c r="I66" s="24"/>
      <c r="J66" s="25" t="str">
        <f>"140,0"</f>
        <v>140,0</v>
      </c>
      <c r="K66" s="26" t="str">
        <f>"86,2470"</f>
        <v>86,2470</v>
      </c>
      <c r="L66" s="23"/>
    </row>
    <row r="67" spans="1:12" x14ac:dyDescent="0.2">
      <c r="A67" s="18" t="s">
        <v>529</v>
      </c>
      <c r="B67" s="4" t="s">
        <v>753</v>
      </c>
      <c r="C67" s="13" t="s">
        <v>200</v>
      </c>
      <c r="D67" s="13" t="s">
        <v>347</v>
      </c>
      <c r="E67" s="18" t="s">
        <v>754</v>
      </c>
      <c r="F67" s="13" t="s">
        <v>467</v>
      </c>
      <c r="G67" s="13" t="s">
        <v>186</v>
      </c>
      <c r="H67" s="13" t="s">
        <v>218</v>
      </c>
      <c r="I67" s="19"/>
      <c r="J67" s="20" t="str">
        <f>"155,0"</f>
        <v>155,0</v>
      </c>
      <c r="K67" s="21" t="str">
        <f>"96,7009"</f>
        <v>96,7009</v>
      </c>
      <c r="L67" s="18"/>
    </row>
    <row r="68" spans="1:12" x14ac:dyDescent="0.2">
      <c r="B68" s="4" t="s">
        <v>753</v>
      </c>
    </row>
    <row r="69" spans="1:12" x14ac:dyDescent="0.2">
      <c r="A69" s="29" t="s">
        <v>4</v>
      </c>
      <c r="B69" s="4" t="s">
        <v>753</v>
      </c>
      <c r="C69" s="32"/>
      <c r="D69" s="32"/>
      <c r="E69" s="32"/>
      <c r="F69" s="32"/>
      <c r="G69" s="32"/>
      <c r="H69" s="32"/>
      <c r="I69" s="32"/>
    </row>
    <row r="70" spans="1:12" x14ac:dyDescent="0.2">
      <c r="A70" s="14" t="s">
        <v>531</v>
      </c>
      <c r="B70" s="4" t="s">
        <v>753</v>
      </c>
      <c r="C70" s="12" t="s">
        <v>532</v>
      </c>
      <c r="D70" s="12" t="s">
        <v>533</v>
      </c>
      <c r="E70" s="14" t="s">
        <v>754</v>
      </c>
      <c r="F70" s="12" t="s">
        <v>21</v>
      </c>
      <c r="G70" s="12" t="s">
        <v>31</v>
      </c>
      <c r="H70" s="12" t="s">
        <v>58</v>
      </c>
      <c r="I70" s="15"/>
      <c r="J70" s="16" t="str">
        <f>"125,0"</f>
        <v>125,0</v>
      </c>
      <c r="K70" s="17" t="str">
        <f>"72,8187"</f>
        <v>72,8187</v>
      </c>
      <c r="L70" s="14"/>
    </row>
    <row r="71" spans="1:12" x14ac:dyDescent="0.2">
      <c r="A71" s="23" t="s">
        <v>535</v>
      </c>
      <c r="B71" s="4" t="s">
        <v>753</v>
      </c>
      <c r="C71" s="22" t="s">
        <v>536</v>
      </c>
      <c r="D71" s="22" t="s">
        <v>537</v>
      </c>
      <c r="E71" s="23" t="s">
        <v>773</v>
      </c>
      <c r="F71" s="24" t="s">
        <v>24</v>
      </c>
      <c r="G71" s="22" t="s">
        <v>24</v>
      </c>
      <c r="H71" s="24" t="s">
        <v>25</v>
      </c>
      <c r="I71" s="24"/>
      <c r="J71" s="25" t="str">
        <f>"175,0"</f>
        <v>175,0</v>
      </c>
      <c r="K71" s="26" t="str">
        <f>"103,9500"</f>
        <v>103,9500</v>
      </c>
      <c r="L71" s="23"/>
    </row>
    <row r="72" spans="1:12" x14ac:dyDescent="0.2">
      <c r="A72" s="23" t="s">
        <v>539</v>
      </c>
      <c r="B72" s="4" t="s">
        <v>753</v>
      </c>
      <c r="C72" s="22" t="s">
        <v>540</v>
      </c>
      <c r="D72" s="22" t="s">
        <v>541</v>
      </c>
      <c r="E72" s="23" t="s">
        <v>754</v>
      </c>
      <c r="F72" s="22" t="s">
        <v>218</v>
      </c>
      <c r="G72" s="22" t="s">
        <v>36</v>
      </c>
      <c r="H72" s="22" t="s">
        <v>77</v>
      </c>
      <c r="I72" s="24"/>
      <c r="J72" s="25" t="str">
        <f>"162,5"</f>
        <v>162,5</v>
      </c>
      <c r="K72" s="26" t="str">
        <f>"95,3306"</f>
        <v>95,3306</v>
      </c>
      <c r="L72" s="23"/>
    </row>
    <row r="73" spans="1:12" x14ac:dyDescent="0.2">
      <c r="A73" s="23" t="s">
        <v>543</v>
      </c>
      <c r="B73" s="4" t="s">
        <v>753</v>
      </c>
      <c r="C73" s="22" t="s">
        <v>544</v>
      </c>
      <c r="D73" s="22" t="s">
        <v>545</v>
      </c>
      <c r="E73" s="23" t="s">
        <v>756</v>
      </c>
      <c r="F73" s="22" t="s">
        <v>186</v>
      </c>
      <c r="G73" s="22" t="s">
        <v>76</v>
      </c>
      <c r="H73" s="22" t="s">
        <v>77</v>
      </c>
      <c r="I73" s="24"/>
      <c r="J73" s="25" t="str">
        <f>"162,5"</f>
        <v>162,5</v>
      </c>
      <c r="K73" s="26" t="str">
        <f>"95,2819"</f>
        <v>95,2819</v>
      </c>
      <c r="L73" s="23"/>
    </row>
    <row r="74" spans="1:12" x14ac:dyDescent="0.2">
      <c r="A74" s="23" t="s">
        <v>547</v>
      </c>
      <c r="B74" s="4" t="s">
        <v>753</v>
      </c>
      <c r="C74" s="22" t="s">
        <v>548</v>
      </c>
      <c r="D74" s="22" t="s">
        <v>549</v>
      </c>
      <c r="E74" s="23" t="s">
        <v>754</v>
      </c>
      <c r="F74" s="22" t="s">
        <v>273</v>
      </c>
      <c r="G74" s="22" t="s">
        <v>218</v>
      </c>
      <c r="H74" s="24" t="s">
        <v>77</v>
      </c>
      <c r="I74" s="24"/>
      <c r="J74" s="25" t="str">
        <f>"155,0"</f>
        <v>155,0</v>
      </c>
      <c r="K74" s="26" t="str">
        <f>"91,0548"</f>
        <v>91,0548</v>
      </c>
      <c r="L74" s="23"/>
    </row>
    <row r="75" spans="1:12" x14ac:dyDescent="0.2">
      <c r="A75" s="23" t="s">
        <v>551</v>
      </c>
      <c r="B75" s="4" t="s">
        <v>753</v>
      </c>
      <c r="C75" s="22" t="s">
        <v>552</v>
      </c>
      <c r="D75" s="22" t="s">
        <v>553</v>
      </c>
      <c r="E75" s="23" t="s">
        <v>774</v>
      </c>
      <c r="F75" s="24" t="s">
        <v>326</v>
      </c>
      <c r="G75" s="24" t="s">
        <v>273</v>
      </c>
      <c r="H75" s="22" t="s">
        <v>467</v>
      </c>
      <c r="I75" s="24"/>
      <c r="J75" s="25" t="str">
        <f>"147,5"</f>
        <v>147,5</v>
      </c>
      <c r="K75" s="26" t="str">
        <f>"86,7300"</f>
        <v>86,7300</v>
      </c>
      <c r="L75" s="23"/>
    </row>
    <row r="76" spans="1:12" x14ac:dyDescent="0.2">
      <c r="A76" s="23" t="s">
        <v>554</v>
      </c>
      <c r="B76" s="4" t="s">
        <v>753</v>
      </c>
      <c r="C76" s="22" t="s">
        <v>555</v>
      </c>
      <c r="D76" s="22" t="s">
        <v>556</v>
      </c>
      <c r="E76" s="23" t="s">
        <v>754</v>
      </c>
      <c r="F76" s="24" t="s">
        <v>34</v>
      </c>
      <c r="G76" s="24" t="s">
        <v>34</v>
      </c>
      <c r="H76" s="24" t="s">
        <v>186</v>
      </c>
      <c r="I76" s="24"/>
      <c r="J76" s="25" t="str">
        <f>"0.00"</f>
        <v>0.00</v>
      </c>
      <c r="K76" s="26" t="str">
        <f>"0,0000"</f>
        <v>0,0000</v>
      </c>
      <c r="L76" s="23"/>
    </row>
    <row r="77" spans="1:12" x14ac:dyDescent="0.2">
      <c r="A77" s="23" t="s">
        <v>558</v>
      </c>
      <c r="B77" s="4" t="s">
        <v>753</v>
      </c>
      <c r="C77" s="22" t="s">
        <v>559</v>
      </c>
      <c r="D77" s="22" t="s">
        <v>560</v>
      </c>
      <c r="E77" s="23" t="s">
        <v>775</v>
      </c>
      <c r="F77" s="22" t="s">
        <v>218</v>
      </c>
      <c r="G77" s="24" t="s">
        <v>77</v>
      </c>
      <c r="H77" s="24" t="s">
        <v>77</v>
      </c>
      <c r="I77" s="24"/>
      <c r="J77" s="25" t="str">
        <f>"155,0"</f>
        <v>155,0</v>
      </c>
      <c r="K77" s="26" t="str">
        <f>"94,3396"</f>
        <v>94,3396</v>
      </c>
      <c r="L77" s="23" t="s">
        <v>561</v>
      </c>
    </row>
    <row r="78" spans="1:12" x14ac:dyDescent="0.2">
      <c r="A78" s="23" t="s">
        <v>563</v>
      </c>
      <c r="B78" s="4" t="s">
        <v>753</v>
      </c>
      <c r="C78" s="22" t="s">
        <v>564</v>
      </c>
      <c r="D78" s="22" t="s">
        <v>565</v>
      </c>
      <c r="E78" s="23" t="s">
        <v>754</v>
      </c>
      <c r="F78" s="22" t="s">
        <v>33</v>
      </c>
      <c r="G78" s="24" t="s">
        <v>34</v>
      </c>
      <c r="H78" s="24" t="s">
        <v>34</v>
      </c>
      <c r="I78" s="24"/>
      <c r="J78" s="25" t="str">
        <f>"140,0"</f>
        <v>140,0</v>
      </c>
      <c r="K78" s="26" t="str">
        <f>"85,1731"</f>
        <v>85,1731</v>
      </c>
      <c r="L78" s="23"/>
    </row>
    <row r="79" spans="1:12" x14ac:dyDescent="0.2">
      <c r="A79" s="18" t="s">
        <v>566</v>
      </c>
      <c r="B79" s="4" t="s">
        <v>753</v>
      </c>
      <c r="C79" s="13" t="s">
        <v>567</v>
      </c>
      <c r="D79" s="13" t="s">
        <v>545</v>
      </c>
      <c r="E79" s="18" t="s">
        <v>756</v>
      </c>
      <c r="F79" s="19" t="s">
        <v>24</v>
      </c>
      <c r="G79" s="19" t="s">
        <v>24</v>
      </c>
      <c r="H79" s="19" t="s">
        <v>24</v>
      </c>
      <c r="I79" s="19"/>
      <c r="J79" s="20" t="str">
        <f>"0.00"</f>
        <v>0.00</v>
      </c>
      <c r="K79" s="21" t="str">
        <f>"0,0000"</f>
        <v>0,0000</v>
      </c>
      <c r="L79" s="18"/>
    </row>
    <row r="80" spans="1:12" x14ac:dyDescent="0.2">
      <c r="B80" s="4" t="s">
        <v>753</v>
      </c>
    </row>
    <row r="81" spans="1:12" x14ac:dyDescent="0.2">
      <c r="A81" s="29" t="s">
        <v>70</v>
      </c>
      <c r="B81" s="4" t="s">
        <v>753</v>
      </c>
      <c r="C81" s="32"/>
      <c r="D81" s="32"/>
      <c r="E81" s="32"/>
      <c r="F81" s="32"/>
      <c r="G81" s="32"/>
      <c r="H81" s="32"/>
      <c r="I81" s="32"/>
    </row>
    <row r="82" spans="1:12" x14ac:dyDescent="0.2">
      <c r="A82" s="14" t="s">
        <v>569</v>
      </c>
      <c r="B82" s="4" t="s">
        <v>753</v>
      </c>
      <c r="C82" s="12" t="s">
        <v>570</v>
      </c>
      <c r="D82" s="12" t="s">
        <v>571</v>
      </c>
      <c r="E82" s="14" t="s">
        <v>776</v>
      </c>
      <c r="F82" s="12" t="s">
        <v>25</v>
      </c>
      <c r="G82" s="12" t="s">
        <v>572</v>
      </c>
      <c r="H82" s="12" t="s">
        <v>60</v>
      </c>
      <c r="I82" s="15"/>
      <c r="J82" s="16" t="str">
        <f>"200,0"</f>
        <v>200,0</v>
      </c>
      <c r="K82" s="17" t="str">
        <f>"113,2200"</f>
        <v>113,2200</v>
      </c>
      <c r="L82" s="14"/>
    </row>
    <row r="83" spans="1:12" x14ac:dyDescent="0.2">
      <c r="A83" s="23" t="s">
        <v>574</v>
      </c>
      <c r="B83" s="4" t="s">
        <v>753</v>
      </c>
      <c r="C83" s="22" t="s">
        <v>575</v>
      </c>
      <c r="D83" s="22" t="s">
        <v>576</v>
      </c>
      <c r="E83" s="23" t="s">
        <v>754</v>
      </c>
      <c r="F83" s="22" t="s">
        <v>76</v>
      </c>
      <c r="G83" s="22" t="s">
        <v>191</v>
      </c>
      <c r="H83" s="22" t="s">
        <v>23</v>
      </c>
      <c r="I83" s="24"/>
      <c r="J83" s="25" t="str">
        <f>"170,0"</f>
        <v>170,0</v>
      </c>
      <c r="K83" s="26" t="str">
        <f>"95,7270"</f>
        <v>95,7270</v>
      </c>
      <c r="L83" s="23"/>
    </row>
    <row r="84" spans="1:12" x14ac:dyDescent="0.2">
      <c r="A84" s="23" t="s">
        <v>578</v>
      </c>
      <c r="B84" s="4" t="s">
        <v>753</v>
      </c>
      <c r="C84" s="22" t="s">
        <v>579</v>
      </c>
      <c r="D84" s="22" t="s">
        <v>580</v>
      </c>
      <c r="E84" s="23" t="s">
        <v>754</v>
      </c>
      <c r="F84" s="24" t="s">
        <v>36</v>
      </c>
      <c r="G84" s="24" t="s">
        <v>191</v>
      </c>
      <c r="H84" s="22" t="s">
        <v>191</v>
      </c>
      <c r="I84" s="24"/>
      <c r="J84" s="25" t="str">
        <f>"167,5"</f>
        <v>167,5</v>
      </c>
      <c r="K84" s="26" t="str">
        <f>"95,3075"</f>
        <v>95,3075</v>
      </c>
      <c r="L84" s="23"/>
    </row>
    <row r="85" spans="1:12" x14ac:dyDescent="0.2">
      <c r="A85" s="23" t="s">
        <v>582</v>
      </c>
      <c r="B85" s="4" t="s">
        <v>753</v>
      </c>
      <c r="C85" s="22" t="s">
        <v>583</v>
      </c>
      <c r="D85" s="22" t="s">
        <v>584</v>
      </c>
      <c r="E85" s="23" t="s">
        <v>777</v>
      </c>
      <c r="F85" s="22" t="s">
        <v>33</v>
      </c>
      <c r="G85" s="24" t="s">
        <v>467</v>
      </c>
      <c r="H85" s="24" t="s">
        <v>467</v>
      </c>
      <c r="I85" s="24"/>
      <c r="J85" s="25" t="str">
        <f>"140,0"</f>
        <v>140,0</v>
      </c>
      <c r="K85" s="26" t="str">
        <f>"79,6110"</f>
        <v>79,6110</v>
      </c>
      <c r="L85" s="23"/>
    </row>
    <row r="86" spans="1:12" x14ac:dyDescent="0.2">
      <c r="A86" s="23" t="s">
        <v>586</v>
      </c>
      <c r="B86" s="4" t="s">
        <v>753</v>
      </c>
      <c r="C86" s="22" t="s">
        <v>587</v>
      </c>
      <c r="D86" s="22" t="s">
        <v>588</v>
      </c>
      <c r="E86" s="23" t="s">
        <v>756</v>
      </c>
      <c r="F86" s="22" t="s">
        <v>59</v>
      </c>
      <c r="G86" s="24" t="s">
        <v>60</v>
      </c>
      <c r="H86" s="24" t="s">
        <v>60</v>
      </c>
      <c r="I86" s="24"/>
      <c r="J86" s="25" t="str">
        <f>"190,0"</f>
        <v>190,0</v>
      </c>
      <c r="K86" s="26" t="str">
        <f>"119,6497"</f>
        <v>119,6497</v>
      </c>
      <c r="L86" s="23" t="s">
        <v>589</v>
      </c>
    </row>
    <row r="87" spans="1:12" x14ac:dyDescent="0.2">
      <c r="A87" s="18" t="s">
        <v>591</v>
      </c>
      <c r="B87" s="4" t="s">
        <v>753</v>
      </c>
      <c r="C87" s="13" t="s">
        <v>592</v>
      </c>
      <c r="D87" s="13" t="s">
        <v>580</v>
      </c>
      <c r="E87" s="18" t="s">
        <v>754</v>
      </c>
      <c r="F87" s="13" t="s">
        <v>36</v>
      </c>
      <c r="G87" s="19" t="s">
        <v>77</v>
      </c>
      <c r="H87" s="19" t="s">
        <v>77</v>
      </c>
      <c r="I87" s="19"/>
      <c r="J87" s="20" t="str">
        <f>"160,0"</f>
        <v>160,0</v>
      </c>
      <c r="K87" s="21" t="str">
        <f>"104,4229"</f>
        <v>104,4229</v>
      </c>
      <c r="L87" s="18"/>
    </row>
    <row r="88" spans="1:12" x14ac:dyDescent="0.2">
      <c r="B88" s="4" t="s">
        <v>753</v>
      </c>
    </row>
    <row r="89" spans="1:12" x14ac:dyDescent="0.2">
      <c r="A89" s="29" t="s">
        <v>26</v>
      </c>
      <c r="B89" s="4" t="s">
        <v>753</v>
      </c>
      <c r="C89" s="32"/>
      <c r="D89" s="32"/>
      <c r="E89" s="32"/>
      <c r="F89" s="32"/>
      <c r="G89" s="32"/>
      <c r="H89" s="32"/>
      <c r="I89" s="32"/>
    </row>
    <row r="90" spans="1:12" x14ac:dyDescent="0.2">
      <c r="A90" s="14" t="s">
        <v>594</v>
      </c>
      <c r="B90" s="4" t="s">
        <v>753</v>
      </c>
      <c r="C90" s="12" t="s">
        <v>595</v>
      </c>
      <c r="D90" s="12" t="s">
        <v>596</v>
      </c>
      <c r="E90" s="14" t="s">
        <v>778</v>
      </c>
      <c r="F90" s="12" t="s">
        <v>572</v>
      </c>
      <c r="G90" s="12" t="s">
        <v>597</v>
      </c>
      <c r="H90" s="15" t="s">
        <v>598</v>
      </c>
      <c r="I90" s="15"/>
      <c r="J90" s="16" t="str">
        <f>"197,5"</f>
        <v>197,5</v>
      </c>
      <c r="K90" s="17" t="str">
        <f>"108,3189"</f>
        <v>108,3189</v>
      </c>
      <c r="L90" s="14"/>
    </row>
    <row r="91" spans="1:12" x14ac:dyDescent="0.2">
      <c r="A91" s="18" t="s">
        <v>600</v>
      </c>
      <c r="B91" s="4" t="s">
        <v>753</v>
      </c>
      <c r="C91" s="13" t="s">
        <v>601</v>
      </c>
      <c r="D91" s="13" t="s">
        <v>602</v>
      </c>
      <c r="E91" s="18" t="s">
        <v>779</v>
      </c>
      <c r="F91" s="13" t="s">
        <v>263</v>
      </c>
      <c r="G91" s="13" t="s">
        <v>603</v>
      </c>
      <c r="H91" s="19"/>
      <c r="I91" s="19"/>
      <c r="J91" s="20" t="str">
        <f>"142,5"</f>
        <v>142,5</v>
      </c>
      <c r="K91" s="21" t="str">
        <f>"111,3004"</f>
        <v>111,3004</v>
      </c>
      <c r="L91" s="18"/>
    </row>
    <row r="92" spans="1:12" x14ac:dyDescent="0.2">
      <c r="B92" s="4" t="s">
        <v>753</v>
      </c>
    </row>
    <row r="93" spans="1:12" x14ac:dyDescent="0.2">
      <c r="A93" s="29" t="s">
        <v>219</v>
      </c>
      <c r="B93" s="4" t="s">
        <v>753</v>
      </c>
      <c r="C93" s="32"/>
      <c r="D93" s="32"/>
      <c r="E93" s="32"/>
      <c r="F93" s="32"/>
      <c r="G93" s="32"/>
      <c r="H93" s="32"/>
      <c r="I93" s="32"/>
    </row>
    <row r="94" spans="1:12" x14ac:dyDescent="0.2">
      <c r="A94" s="14" t="s">
        <v>605</v>
      </c>
      <c r="B94" s="4" t="s">
        <v>753</v>
      </c>
      <c r="C94" s="12" t="s">
        <v>606</v>
      </c>
      <c r="D94" s="12" t="s">
        <v>607</v>
      </c>
      <c r="E94" s="14" t="s">
        <v>763</v>
      </c>
      <c r="F94" s="12" t="s">
        <v>22</v>
      </c>
      <c r="G94" s="12" t="s">
        <v>25</v>
      </c>
      <c r="H94" s="15" t="s">
        <v>283</v>
      </c>
      <c r="I94" s="15"/>
      <c r="J94" s="16" t="str">
        <f>"180,0"</f>
        <v>180,0</v>
      </c>
      <c r="K94" s="17" t="str">
        <f>"95,4765"</f>
        <v>95,4765</v>
      </c>
      <c r="L94" s="14"/>
    </row>
    <row r="95" spans="1:12" x14ac:dyDescent="0.2">
      <c r="A95" s="18" t="s">
        <v>609</v>
      </c>
      <c r="B95" s="4" t="s">
        <v>753</v>
      </c>
      <c r="C95" s="13" t="s">
        <v>610</v>
      </c>
      <c r="D95" s="13" t="s">
        <v>611</v>
      </c>
      <c r="E95" s="18" t="s">
        <v>754</v>
      </c>
      <c r="F95" s="13" t="s">
        <v>57</v>
      </c>
      <c r="G95" s="19" t="s">
        <v>69</v>
      </c>
      <c r="H95" s="19" t="s">
        <v>69</v>
      </c>
      <c r="I95" s="19"/>
      <c r="J95" s="20" t="str">
        <f>"205,0"</f>
        <v>205,0</v>
      </c>
      <c r="K95" s="21" t="str">
        <f>"105,9553"</f>
        <v>105,9553</v>
      </c>
      <c r="L95" s="18" t="s">
        <v>612</v>
      </c>
    </row>
    <row r="105" spans="1:4" x14ac:dyDescent="0.2">
      <c r="A105" s="2" t="s">
        <v>9</v>
      </c>
    </row>
    <row r="106" spans="1:4" x14ac:dyDescent="0.2">
      <c r="A106" s="28" t="s">
        <v>10</v>
      </c>
      <c r="B106" s="28"/>
      <c r="C106" s="29"/>
    </row>
    <row r="107" spans="1:4" x14ac:dyDescent="0.2">
      <c r="A107" s="30"/>
      <c r="B107" s="30"/>
      <c r="C107" s="29" t="s">
        <v>11</v>
      </c>
    </row>
    <row r="108" spans="1:4" x14ac:dyDescent="0.2">
      <c r="A108" s="31" t="s">
        <v>0</v>
      </c>
      <c r="B108" s="31"/>
      <c r="C108" s="31" t="s">
        <v>12</v>
      </c>
      <c r="D108" s="31" t="s">
        <v>13</v>
      </c>
    </row>
    <row r="109" spans="1:4" x14ac:dyDescent="0.2">
      <c r="A109" s="11" t="s">
        <v>427</v>
      </c>
      <c r="B109" s="11"/>
      <c r="C109" s="3" t="s">
        <v>11</v>
      </c>
      <c r="D109" s="3" t="s">
        <v>613</v>
      </c>
    </row>
    <row r="110" spans="1:4" x14ac:dyDescent="0.2">
      <c r="A110" s="11" t="s">
        <v>420</v>
      </c>
      <c r="B110" s="11"/>
      <c r="C110" s="3" t="s">
        <v>11</v>
      </c>
      <c r="D110" s="3" t="s">
        <v>141</v>
      </c>
    </row>
    <row r="111" spans="1:4" x14ac:dyDescent="0.2">
      <c r="A111" s="11" t="s">
        <v>397</v>
      </c>
      <c r="B111" s="11"/>
      <c r="C111" s="3" t="s">
        <v>11</v>
      </c>
      <c r="D111" s="3" t="s">
        <v>614</v>
      </c>
    </row>
    <row r="112" spans="1:4" x14ac:dyDescent="0.2">
      <c r="A112" s="11" t="s">
        <v>401</v>
      </c>
      <c r="B112" s="11"/>
      <c r="C112" s="3" t="s">
        <v>11</v>
      </c>
      <c r="D112" s="3" t="s">
        <v>225</v>
      </c>
    </row>
    <row r="113" spans="1:4" x14ac:dyDescent="0.2">
      <c r="A113" s="11" t="s">
        <v>405</v>
      </c>
      <c r="B113" s="11"/>
      <c r="C113" s="3" t="s">
        <v>11</v>
      </c>
      <c r="D113" s="3" t="s">
        <v>139</v>
      </c>
    </row>
    <row r="114" spans="1:4" x14ac:dyDescent="0.2">
      <c r="A114" s="11" t="s">
        <v>409</v>
      </c>
      <c r="B114" s="11"/>
      <c r="C114" s="3" t="s">
        <v>11</v>
      </c>
      <c r="D114" s="3" t="s">
        <v>139</v>
      </c>
    </row>
    <row r="116" spans="1:4" x14ac:dyDescent="0.2">
      <c r="A116" s="30"/>
      <c r="B116" s="30"/>
      <c r="C116" s="29" t="s">
        <v>15</v>
      </c>
    </row>
    <row r="117" spans="1:4" x14ac:dyDescent="0.2">
      <c r="A117" s="31" t="s">
        <v>0</v>
      </c>
      <c r="B117" s="31"/>
      <c r="C117" s="31" t="s">
        <v>12</v>
      </c>
      <c r="D117" s="31" t="s">
        <v>13</v>
      </c>
    </row>
    <row r="118" spans="1:4" x14ac:dyDescent="0.2">
      <c r="A118" s="11" t="s">
        <v>420</v>
      </c>
      <c r="B118" s="11"/>
      <c r="C118" s="3" t="s">
        <v>38</v>
      </c>
      <c r="D118" s="3" t="s">
        <v>141</v>
      </c>
    </row>
    <row r="119" spans="1:4" x14ac:dyDescent="0.2">
      <c r="A119" s="11" t="s">
        <v>339</v>
      </c>
      <c r="B119" s="11"/>
      <c r="C119" s="3" t="s">
        <v>98</v>
      </c>
      <c r="D119" s="3" t="s">
        <v>141</v>
      </c>
    </row>
    <row r="120" spans="1:4" x14ac:dyDescent="0.2">
      <c r="A120" s="11" t="s">
        <v>416</v>
      </c>
      <c r="B120" s="11"/>
      <c r="C120" s="3" t="s">
        <v>98</v>
      </c>
      <c r="D120" s="3" t="s">
        <v>222</v>
      </c>
    </row>
    <row r="121" spans="1:4" x14ac:dyDescent="0.2">
      <c r="A121" s="11" t="s">
        <v>412</v>
      </c>
      <c r="B121" s="11"/>
      <c r="C121" s="3" t="s">
        <v>97</v>
      </c>
      <c r="D121" s="3" t="s">
        <v>220</v>
      </c>
    </row>
    <row r="124" spans="1:4" x14ac:dyDescent="0.2">
      <c r="A124" s="28" t="s">
        <v>14</v>
      </c>
      <c r="B124" s="28"/>
      <c r="C124" s="29"/>
    </row>
    <row r="125" spans="1:4" x14ac:dyDescent="0.2">
      <c r="A125" s="30"/>
      <c r="B125" s="30"/>
      <c r="C125" s="29" t="s">
        <v>93</v>
      </c>
    </row>
    <row r="126" spans="1:4" x14ac:dyDescent="0.2">
      <c r="A126" s="31" t="s">
        <v>0</v>
      </c>
      <c r="B126" s="31"/>
      <c r="C126" s="31" t="s">
        <v>12</v>
      </c>
      <c r="D126" s="31" t="s">
        <v>13</v>
      </c>
    </row>
    <row r="127" spans="1:4" x14ac:dyDescent="0.2">
      <c r="A127" s="11" t="s">
        <v>451</v>
      </c>
      <c r="B127" s="11"/>
      <c r="C127" s="3" t="s">
        <v>388</v>
      </c>
      <c r="D127" s="3" t="s">
        <v>141</v>
      </c>
    </row>
    <row r="128" spans="1:4" x14ac:dyDescent="0.2">
      <c r="A128" s="11" t="s">
        <v>435</v>
      </c>
      <c r="B128" s="11"/>
      <c r="C128" s="3" t="s">
        <v>388</v>
      </c>
      <c r="D128" s="3" t="s">
        <v>220</v>
      </c>
    </row>
    <row r="129" spans="1:4" x14ac:dyDescent="0.2">
      <c r="A129" s="11" t="s">
        <v>604</v>
      </c>
      <c r="B129" s="11"/>
      <c r="C129" s="3" t="s">
        <v>94</v>
      </c>
      <c r="D129" s="3" t="s">
        <v>226</v>
      </c>
    </row>
    <row r="130" spans="1:4" x14ac:dyDescent="0.2">
      <c r="A130" s="11" t="s">
        <v>269</v>
      </c>
      <c r="B130" s="11"/>
      <c r="C130" s="3" t="s">
        <v>94</v>
      </c>
      <c r="D130" s="3" t="s">
        <v>222</v>
      </c>
    </row>
    <row r="131" spans="1:4" x14ac:dyDescent="0.2">
      <c r="A131" s="11" t="s">
        <v>431</v>
      </c>
      <c r="B131" s="11"/>
      <c r="C131" s="3" t="s">
        <v>224</v>
      </c>
      <c r="D131" s="3" t="s">
        <v>139</v>
      </c>
    </row>
    <row r="132" spans="1:4" x14ac:dyDescent="0.2">
      <c r="A132" s="11" t="s">
        <v>454</v>
      </c>
      <c r="B132" s="11"/>
      <c r="C132" s="3" t="s">
        <v>388</v>
      </c>
      <c r="D132" s="3" t="s">
        <v>141</v>
      </c>
    </row>
    <row r="133" spans="1:4" x14ac:dyDescent="0.2">
      <c r="A133" s="11" t="s">
        <v>440</v>
      </c>
      <c r="B133" s="11"/>
      <c r="C133" s="3" t="s">
        <v>224</v>
      </c>
      <c r="D133" s="3" t="s">
        <v>222</v>
      </c>
    </row>
    <row r="135" spans="1:4" x14ac:dyDescent="0.2">
      <c r="A135" s="30"/>
      <c r="B135" s="30"/>
      <c r="C135" s="29" t="s">
        <v>137</v>
      </c>
    </row>
    <row r="136" spans="1:4" x14ac:dyDescent="0.2">
      <c r="A136" s="31" t="s">
        <v>0</v>
      </c>
      <c r="B136" s="31"/>
      <c r="C136" s="31" t="s">
        <v>12</v>
      </c>
      <c r="D136" s="31" t="s">
        <v>13</v>
      </c>
    </row>
    <row r="137" spans="1:4" x14ac:dyDescent="0.2">
      <c r="A137" s="11" t="s">
        <v>459</v>
      </c>
      <c r="B137" s="11"/>
      <c r="C137" s="3" t="s">
        <v>138</v>
      </c>
      <c r="D137" s="3" t="s">
        <v>141</v>
      </c>
    </row>
    <row r="138" spans="1:4" x14ac:dyDescent="0.2">
      <c r="A138" s="11" t="s">
        <v>506</v>
      </c>
      <c r="B138" s="11"/>
      <c r="C138" s="3" t="s">
        <v>138</v>
      </c>
      <c r="D138" s="3" t="s">
        <v>136</v>
      </c>
    </row>
    <row r="139" spans="1:4" x14ac:dyDescent="0.2">
      <c r="A139" s="11" t="s">
        <v>530</v>
      </c>
      <c r="B139" s="11"/>
      <c r="C139" s="3" t="s">
        <v>138</v>
      </c>
      <c r="D139" s="3" t="s">
        <v>17</v>
      </c>
    </row>
    <row r="141" spans="1:4" x14ac:dyDescent="0.2">
      <c r="A141" s="30"/>
      <c r="B141" s="30"/>
      <c r="C141" s="29" t="s">
        <v>11</v>
      </c>
    </row>
    <row r="142" spans="1:4" x14ac:dyDescent="0.2">
      <c r="A142" s="31" t="s">
        <v>0</v>
      </c>
      <c r="B142" s="31"/>
      <c r="C142" s="31" t="s">
        <v>12</v>
      </c>
      <c r="D142" s="31" t="s">
        <v>13</v>
      </c>
    </row>
    <row r="143" spans="1:4" x14ac:dyDescent="0.2">
      <c r="A143" s="11" t="s">
        <v>568</v>
      </c>
      <c r="B143" s="11"/>
      <c r="C143" s="3" t="s">
        <v>11</v>
      </c>
      <c r="D143" s="3" t="s">
        <v>96</v>
      </c>
    </row>
    <row r="144" spans="1:4" x14ac:dyDescent="0.2">
      <c r="A144" s="11" t="s">
        <v>593</v>
      </c>
      <c r="B144" s="11"/>
      <c r="C144" s="3" t="s">
        <v>11</v>
      </c>
      <c r="D144" s="3" t="s">
        <v>37</v>
      </c>
    </row>
    <row r="145" spans="1:4" x14ac:dyDescent="0.2">
      <c r="A145" s="11" t="s">
        <v>510</v>
      </c>
      <c r="B145" s="11"/>
      <c r="C145" s="3" t="s">
        <v>11</v>
      </c>
      <c r="D145" s="3" t="s">
        <v>136</v>
      </c>
    </row>
    <row r="146" spans="1:4" x14ac:dyDescent="0.2">
      <c r="A146" s="11" t="s">
        <v>608</v>
      </c>
      <c r="B146" s="11"/>
      <c r="C146" s="3" t="s">
        <v>11</v>
      </c>
      <c r="D146" s="3" t="s">
        <v>226</v>
      </c>
    </row>
    <row r="147" spans="1:4" x14ac:dyDescent="0.2">
      <c r="A147" s="11" t="s">
        <v>463</v>
      </c>
      <c r="B147" s="11"/>
      <c r="C147" s="3" t="s">
        <v>11</v>
      </c>
      <c r="D147" s="3" t="s">
        <v>141</v>
      </c>
    </row>
    <row r="148" spans="1:4" x14ac:dyDescent="0.2">
      <c r="A148" s="11" t="s">
        <v>514</v>
      </c>
      <c r="B148" s="11"/>
      <c r="C148" s="3" t="s">
        <v>11</v>
      </c>
      <c r="D148" s="3" t="s">
        <v>136</v>
      </c>
    </row>
    <row r="149" spans="1:4" x14ac:dyDescent="0.2">
      <c r="A149" s="11" t="s">
        <v>534</v>
      </c>
      <c r="B149" s="11"/>
      <c r="C149" s="3" t="s">
        <v>11</v>
      </c>
      <c r="D149" s="3" t="s">
        <v>17</v>
      </c>
    </row>
    <row r="150" spans="1:4" x14ac:dyDescent="0.2">
      <c r="A150" s="11" t="s">
        <v>485</v>
      </c>
      <c r="B150" s="11"/>
      <c r="C150" s="3" t="s">
        <v>11</v>
      </c>
      <c r="D150" s="3" t="s">
        <v>95</v>
      </c>
    </row>
    <row r="151" spans="1:4" x14ac:dyDescent="0.2">
      <c r="A151" s="11" t="s">
        <v>517</v>
      </c>
      <c r="B151" s="11"/>
      <c r="C151" s="3" t="s">
        <v>11</v>
      </c>
      <c r="D151" s="3" t="s">
        <v>136</v>
      </c>
    </row>
    <row r="152" spans="1:4" x14ac:dyDescent="0.2">
      <c r="A152" s="11" t="s">
        <v>459</v>
      </c>
      <c r="B152" s="11"/>
      <c r="C152" s="3" t="s">
        <v>11</v>
      </c>
      <c r="D152" s="3" t="s">
        <v>141</v>
      </c>
    </row>
    <row r="153" spans="1:4" x14ac:dyDescent="0.2">
      <c r="A153" s="11" t="s">
        <v>573</v>
      </c>
      <c r="B153" s="11"/>
      <c r="C153" s="3" t="s">
        <v>11</v>
      </c>
      <c r="D153" s="3" t="s">
        <v>96</v>
      </c>
    </row>
    <row r="154" spans="1:4" x14ac:dyDescent="0.2">
      <c r="A154" s="11" t="s">
        <v>538</v>
      </c>
      <c r="B154" s="11"/>
      <c r="C154" s="3" t="s">
        <v>11</v>
      </c>
      <c r="D154" s="3" t="s">
        <v>17</v>
      </c>
    </row>
    <row r="155" spans="1:4" x14ac:dyDescent="0.2">
      <c r="A155" s="11" t="s">
        <v>577</v>
      </c>
      <c r="B155" s="11"/>
      <c r="C155" s="3" t="s">
        <v>11</v>
      </c>
      <c r="D155" s="3" t="s">
        <v>96</v>
      </c>
    </row>
    <row r="156" spans="1:4" x14ac:dyDescent="0.2">
      <c r="A156" s="11" t="s">
        <v>542</v>
      </c>
      <c r="B156" s="11"/>
      <c r="C156" s="3" t="s">
        <v>11</v>
      </c>
      <c r="D156" s="3" t="s">
        <v>17</v>
      </c>
    </row>
    <row r="157" spans="1:4" x14ac:dyDescent="0.2">
      <c r="A157" s="11" t="s">
        <v>489</v>
      </c>
      <c r="B157" s="11"/>
      <c r="C157" s="3" t="s">
        <v>11</v>
      </c>
      <c r="D157" s="3" t="s">
        <v>95</v>
      </c>
    </row>
    <row r="158" spans="1:4" x14ac:dyDescent="0.2">
      <c r="A158" s="11" t="s">
        <v>493</v>
      </c>
      <c r="B158" s="11"/>
      <c r="C158" s="3" t="s">
        <v>11</v>
      </c>
      <c r="D158" s="3" t="s">
        <v>95</v>
      </c>
    </row>
    <row r="159" spans="1:4" x14ac:dyDescent="0.2">
      <c r="A159" s="11" t="s">
        <v>546</v>
      </c>
      <c r="B159" s="11"/>
      <c r="C159" s="3" t="s">
        <v>11</v>
      </c>
      <c r="D159" s="3" t="s">
        <v>17</v>
      </c>
    </row>
    <row r="160" spans="1:4" x14ac:dyDescent="0.2">
      <c r="A160" s="11" t="s">
        <v>520</v>
      </c>
      <c r="B160" s="11"/>
      <c r="C160" s="3" t="s">
        <v>11</v>
      </c>
      <c r="D160" s="3" t="s">
        <v>136</v>
      </c>
    </row>
    <row r="161" spans="1:4" x14ac:dyDescent="0.2">
      <c r="A161" s="11" t="s">
        <v>550</v>
      </c>
      <c r="B161" s="11"/>
      <c r="C161" s="3" t="s">
        <v>11</v>
      </c>
      <c r="D161" s="3" t="s">
        <v>17</v>
      </c>
    </row>
    <row r="162" spans="1:4" x14ac:dyDescent="0.2">
      <c r="A162" s="11" t="s">
        <v>524</v>
      </c>
      <c r="B162" s="11"/>
      <c r="C162" s="3" t="s">
        <v>11</v>
      </c>
      <c r="D162" s="3" t="s">
        <v>136</v>
      </c>
    </row>
    <row r="163" spans="1:4" x14ac:dyDescent="0.2">
      <c r="A163" s="11" t="s">
        <v>471</v>
      </c>
      <c r="B163" s="11"/>
      <c r="C163" s="3" t="s">
        <v>11</v>
      </c>
      <c r="D163" s="3" t="s">
        <v>141</v>
      </c>
    </row>
    <row r="164" spans="1:4" x14ac:dyDescent="0.2">
      <c r="A164" s="11" t="s">
        <v>444</v>
      </c>
      <c r="B164" s="11"/>
      <c r="C164" s="3" t="s">
        <v>11</v>
      </c>
      <c r="D164" s="3" t="s">
        <v>222</v>
      </c>
    </row>
    <row r="165" spans="1:4" x14ac:dyDescent="0.2">
      <c r="A165" s="11" t="s">
        <v>447</v>
      </c>
      <c r="B165" s="11"/>
      <c r="C165" s="3" t="s">
        <v>11</v>
      </c>
      <c r="D165" s="3" t="s">
        <v>222</v>
      </c>
    </row>
    <row r="166" spans="1:4" x14ac:dyDescent="0.2">
      <c r="A166" s="11" t="s">
        <v>581</v>
      </c>
      <c r="B166" s="11"/>
      <c r="C166" s="3" t="s">
        <v>11</v>
      </c>
      <c r="D166" s="3" t="s">
        <v>96</v>
      </c>
    </row>
    <row r="168" spans="1:4" x14ac:dyDescent="0.2">
      <c r="A168" s="30"/>
      <c r="B168" s="30"/>
      <c r="C168" s="29" t="s">
        <v>15</v>
      </c>
    </row>
    <row r="169" spans="1:4" x14ac:dyDescent="0.2">
      <c r="A169" s="31" t="s">
        <v>0</v>
      </c>
      <c r="B169" s="31"/>
      <c r="C169" s="31" t="s">
        <v>12</v>
      </c>
      <c r="D169" s="31" t="s">
        <v>13</v>
      </c>
    </row>
    <row r="170" spans="1:4" x14ac:dyDescent="0.2">
      <c r="A170" s="11" t="s">
        <v>585</v>
      </c>
      <c r="B170" s="11"/>
      <c r="C170" s="3" t="s">
        <v>98</v>
      </c>
      <c r="D170" s="3" t="s">
        <v>96</v>
      </c>
    </row>
    <row r="171" spans="1:4" x14ac:dyDescent="0.2">
      <c r="A171" s="11" t="s">
        <v>599</v>
      </c>
      <c r="B171" s="11"/>
      <c r="C171" s="3" t="s">
        <v>223</v>
      </c>
      <c r="D171" s="3" t="s">
        <v>37</v>
      </c>
    </row>
    <row r="172" spans="1:4" x14ac:dyDescent="0.2">
      <c r="A172" s="11" t="s">
        <v>479</v>
      </c>
      <c r="B172" s="11"/>
      <c r="C172" s="3" t="s">
        <v>98</v>
      </c>
      <c r="D172" s="3" t="s">
        <v>141</v>
      </c>
    </row>
    <row r="173" spans="1:4" x14ac:dyDescent="0.2">
      <c r="A173" s="11" t="s">
        <v>590</v>
      </c>
      <c r="B173" s="11"/>
      <c r="C173" s="3" t="s">
        <v>16</v>
      </c>
      <c r="D173" s="3" t="s">
        <v>96</v>
      </c>
    </row>
    <row r="174" spans="1:4" x14ac:dyDescent="0.2">
      <c r="A174" s="11" t="s">
        <v>475</v>
      </c>
      <c r="B174" s="11"/>
      <c r="C174" s="3" t="s">
        <v>97</v>
      </c>
      <c r="D174" s="3" t="s">
        <v>141</v>
      </c>
    </row>
    <row r="175" spans="1:4" x14ac:dyDescent="0.2">
      <c r="A175" s="11" t="s">
        <v>528</v>
      </c>
      <c r="B175" s="11"/>
      <c r="C175" s="3" t="s">
        <v>97</v>
      </c>
      <c r="D175" s="3" t="s">
        <v>136</v>
      </c>
    </row>
    <row r="176" spans="1:4" x14ac:dyDescent="0.2">
      <c r="A176" s="11" t="s">
        <v>557</v>
      </c>
      <c r="B176" s="11"/>
      <c r="C176" s="3" t="s">
        <v>97</v>
      </c>
      <c r="D176" s="3" t="s">
        <v>17</v>
      </c>
    </row>
    <row r="177" spans="1:4" x14ac:dyDescent="0.2">
      <c r="A177" s="11" t="s">
        <v>562</v>
      </c>
      <c r="B177" s="11"/>
      <c r="C177" s="3" t="s">
        <v>97</v>
      </c>
      <c r="D177" s="3" t="s">
        <v>17</v>
      </c>
    </row>
  </sheetData>
  <mergeCells count="1"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4"/>
  <sheetViews>
    <sheetView workbookViewId="0">
      <selection activeCell="A2" sqref="A2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13.28515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166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619</v>
      </c>
      <c r="B4" s="4" t="s">
        <v>752</v>
      </c>
      <c r="C4" s="5" t="s">
        <v>620</v>
      </c>
      <c r="D4" s="5" t="s">
        <v>621</v>
      </c>
      <c r="E4" s="42" t="s">
        <v>766</v>
      </c>
      <c r="F4" s="42" t="s">
        <v>243</v>
      </c>
      <c r="G4" s="5" t="s">
        <v>334</v>
      </c>
      <c r="H4" s="5" t="s">
        <v>343</v>
      </c>
      <c r="I4" s="6"/>
      <c r="J4" s="9" t="str">
        <f>"72,5"</f>
        <v>72,5</v>
      </c>
      <c r="K4" s="10" t="str">
        <f>"81,5407"</f>
        <v>81,5407</v>
      </c>
      <c r="L4" s="4" t="s">
        <v>622</v>
      </c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154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624</v>
      </c>
      <c r="B7" s="4" t="s">
        <v>752</v>
      </c>
      <c r="C7" s="5" t="s">
        <v>625</v>
      </c>
      <c r="D7" s="5" t="s">
        <v>626</v>
      </c>
      <c r="E7" s="4" t="s">
        <v>766</v>
      </c>
      <c r="F7" s="6" t="s">
        <v>458</v>
      </c>
      <c r="G7" s="6" t="s">
        <v>458</v>
      </c>
      <c r="H7" s="5" t="s">
        <v>458</v>
      </c>
      <c r="I7" s="6" t="s">
        <v>627</v>
      </c>
      <c r="J7" s="9" t="str">
        <f>"82,5"</f>
        <v>82,5</v>
      </c>
      <c r="K7" s="10" t="str">
        <f>"76,2630"</f>
        <v>76,2630</v>
      </c>
      <c r="L7" s="4" t="s">
        <v>622</v>
      </c>
    </row>
    <row r="9" spans="1:20" x14ac:dyDescent="0.2">
      <c r="A9" s="33" t="s">
        <v>105</v>
      </c>
      <c r="B9" s="33"/>
      <c r="C9" s="34"/>
      <c r="D9" s="34"/>
      <c r="E9" s="34"/>
      <c r="F9" s="34"/>
      <c r="G9" s="34"/>
      <c r="H9" s="34"/>
      <c r="I9" s="34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4" t="s">
        <v>390</v>
      </c>
      <c r="B10" s="4" t="s">
        <v>753</v>
      </c>
      <c r="C10" s="5" t="s">
        <v>391</v>
      </c>
      <c r="D10" s="5" t="s">
        <v>392</v>
      </c>
      <c r="E10" s="4" t="s">
        <v>761</v>
      </c>
      <c r="F10" s="6" t="s">
        <v>159</v>
      </c>
      <c r="G10" s="5" t="s">
        <v>159</v>
      </c>
      <c r="H10" s="5" t="s">
        <v>47</v>
      </c>
      <c r="I10" s="6" t="s">
        <v>104</v>
      </c>
      <c r="J10" s="9" t="str">
        <f>"60,0"</f>
        <v>60,0</v>
      </c>
      <c r="K10" s="10" t="str">
        <f>"54,8880"</f>
        <v>54,8880</v>
      </c>
      <c r="L10" s="4"/>
    </row>
    <row r="12" spans="1:20" x14ac:dyDescent="0.2">
      <c r="A12" s="33" t="s">
        <v>142</v>
      </c>
      <c r="B12" s="33"/>
      <c r="C12" s="34"/>
      <c r="D12" s="34"/>
      <c r="E12" s="34"/>
      <c r="F12" s="34"/>
      <c r="G12" s="34"/>
      <c r="H12" s="34"/>
      <c r="I12" s="34"/>
      <c r="J12" s="36"/>
      <c r="K12" s="36"/>
      <c r="L12" s="35"/>
      <c r="M12" s="37"/>
      <c r="N12" s="37"/>
      <c r="O12" s="37"/>
      <c r="P12" s="37"/>
      <c r="Q12" s="37"/>
    </row>
    <row r="13" spans="1:20" x14ac:dyDescent="0.2">
      <c r="A13" s="4" t="s">
        <v>436</v>
      </c>
      <c r="B13" s="4" t="s">
        <v>753</v>
      </c>
      <c r="C13" s="5" t="s">
        <v>628</v>
      </c>
      <c r="D13" s="5" t="s">
        <v>438</v>
      </c>
      <c r="E13" s="4" t="s">
        <v>766</v>
      </c>
      <c r="F13" s="5" t="s">
        <v>34</v>
      </c>
      <c r="G13" s="5" t="s">
        <v>36</v>
      </c>
      <c r="H13" s="5" t="s">
        <v>22</v>
      </c>
      <c r="I13" s="6"/>
      <c r="J13" s="9" t="str">
        <f>"165,0"</f>
        <v>165,0</v>
      </c>
      <c r="K13" s="10" t="str">
        <f>"140,4068"</f>
        <v>140,4068</v>
      </c>
      <c r="L13" s="4"/>
    </row>
    <row r="15" spans="1:20" x14ac:dyDescent="0.2">
      <c r="A15" s="33" t="s">
        <v>111</v>
      </c>
      <c r="B15" s="33"/>
      <c r="C15" s="34"/>
      <c r="D15" s="34"/>
      <c r="E15" s="34"/>
      <c r="F15" s="34"/>
      <c r="G15" s="34"/>
      <c r="H15" s="34"/>
      <c r="I15" s="34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4" t="s">
        <v>629</v>
      </c>
      <c r="B16" s="4" t="s">
        <v>753</v>
      </c>
      <c r="C16" s="5" t="s">
        <v>453</v>
      </c>
      <c r="D16" s="5" t="s">
        <v>178</v>
      </c>
      <c r="E16" s="4" t="s">
        <v>766</v>
      </c>
      <c r="F16" s="6" t="s">
        <v>33</v>
      </c>
      <c r="G16" s="6" t="s">
        <v>467</v>
      </c>
      <c r="H16" s="6" t="s">
        <v>467</v>
      </c>
      <c r="I16" s="6"/>
      <c r="J16" s="9" t="str">
        <f>"0.00"</f>
        <v>0.00</v>
      </c>
      <c r="K16" s="10" t="str">
        <f>"0,0000"</f>
        <v>0,0000</v>
      </c>
      <c r="L16" s="4"/>
    </row>
    <row r="18" spans="1:17" x14ac:dyDescent="0.2">
      <c r="A18" s="33" t="s">
        <v>51</v>
      </c>
      <c r="B18" s="33"/>
      <c r="C18" s="34"/>
      <c r="D18" s="34"/>
      <c r="E18" s="34"/>
      <c r="F18" s="34"/>
      <c r="G18" s="34"/>
      <c r="H18" s="34"/>
      <c r="I18" s="34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4" t="s">
        <v>631</v>
      </c>
      <c r="B19" s="4" t="s">
        <v>753</v>
      </c>
      <c r="C19" s="5" t="s">
        <v>632</v>
      </c>
      <c r="D19" s="5" t="s">
        <v>633</v>
      </c>
      <c r="E19" s="4" t="s">
        <v>780</v>
      </c>
      <c r="F19" s="5" t="s">
        <v>78</v>
      </c>
      <c r="G19" s="6" t="s">
        <v>69</v>
      </c>
      <c r="H19" s="5" t="s">
        <v>69</v>
      </c>
      <c r="I19" s="6"/>
      <c r="J19" s="9" t="str">
        <f>"215,0"</f>
        <v>215,0</v>
      </c>
      <c r="K19" s="10" t="str">
        <f>"139,6962"</f>
        <v>139,6962</v>
      </c>
      <c r="L19" s="4"/>
    </row>
    <row r="21" spans="1:17" x14ac:dyDescent="0.2">
      <c r="A21" s="33" t="s">
        <v>99</v>
      </c>
      <c r="B21" s="33"/>
      <c r="C21" s="34"/>
      <c r="D21" s="34"/>
      <c r="E21" s="34"/>
      <c r="F21" s="34"/>
      <c r="G21" s="34"/>
      <c r="H21" s="34"/>
      <c r="I21" s="34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14" t="s">
        <v>369</v>
      </c>
      <c r="B22" s="14" t="s">
        <v>753</v>
      </c>
      <c r="C22" s="12" t="s">
        <v>370</v>
      </c>
      <c r="D22" s="12" t="s">
        <v>347</v>
      </c>
      <c r="E22" s="14" t="s">
        <v>762</v>
      </c>
      <c r="F22" s="12" t="s">
        <v>32</v>
      </c>
      <c r="G22" s="15"/>
      <c r="H22" s="15"/>
      <c r="I22" s="15"/>
      <c r="J22" s="16" t="str">
        <f>"130,0"</f>
        <v>130,0</v>
      </c>
      <c r="K22" s="17" t="str">
        <f>"83,7539"</f>
        <v>83,7539</v>
      </c>
      <c r="L22" s="14"/>
    </row>
    <row r="23" spans="1:17" x14ac:dyDescent="0.2">
      <c r="A23" s="18" t="s">
        <v>634</v>
      </c>
      <c r="B23" s="18" t="s">
        <v>753</v>
      </c>
      <c r="C23" s="13" t="s">
        <v>122</v>
      </c>
      <c r="D23" s="13" t="s">
        <v>123</v>
      </c>
      <c r="E23" s="18" t="s">
        <v>761</v>
      </c>
      <c r="F23" s="19" t="s">
        <v>20</v>
      </c>
      <c r="G23" s="13" t="s">
        <v>20</v>
      </c>
      <c r="H23" s="13" t="s">
        <v>117</v>
      </c>
      <c r="I23" s="19"/>
      <c r="J23" s="20" t="str">
        <f>"105,0"</f>
        <v>105,0</v>
      </c>
      <c r="K23" s="21" t="str">
        <f>"69,2299"</f>
        <v>69,2299</v>
      </c>
      <c r="L23" s="18"/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3" spans="1:17" x14ac:dyDescent="0.2">
      <c r="A33" s="2" t="s">
        <v>9</v>
      </c>
    </row>
    <row r="34" spans="1:17" x14ac:dyDescent="0.2">
      <c r="A34" s="28" t="s">
        <v>10</v>
      </c>
      <c r="B34" s="28"/>
      <c r="C34" s="29"/>
    </row>
    <row r="35" spans="1:17" x14ac:dyDescent="0.2">
      <c r="A35" s="30"/>
      <c r="B35" s="30"/>
      <c r="C35" s="29" t="s">
        <v>93</v>
      </c>
    </row>
    <row r="36" spans="1:17" x14ac:dyDescent="0.2">
      <c r="A36" s="31" t="s">
        <v>0</v>
      </c>
      <c r="B36" s="31"/>
      <c r="C36" s="31" t="s">
        <v>12</v>
      </c>
      <c r="D36" s="31" t="s">
        <v>13</v>
      </c>
    </row>
    <row r="37" spans="1:17" x14ac:dyDescent="0.2">
      <c r="A37" s="35" t="s">
        <v>618</v>
      </c>
      <c r="B37" s="35"/>
      <c r="C37" s="35" t="s">
        <v>94</v>
      </c>
      <c r="D37" s="35" t="s">
        <v>225</v>
      </c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  <row r="38" spans="1:17" x14ac:dyDescent="0.2">
      <c r="A38" s="11" t="s">
        <v>623</v>
      </c>
      <c r="B38" s="11"/>
      <c r="C38" s="3" t="s">
        <v>388</v>
      </c>
      <c r="D38" s="3" t="s">
        <v>222</v>
      </c>
    </row>
    <row r="41" spans="1:17" x14ac:dyDescent="0.2">
      <c r="A41" s="28" t="s">
        <v>14</v>
      </c>
      <c r="B41" s="28"/>
      <c r="C41" s="29"/>
    </row>
    <row r="42" spans="1:17" x14ac:dyDescent="0.2">
      <c r="A42" s="30"/>
      <c r="B42" s="30"/>
      <c r="C42" s="29" t="s">
        <v>137</v>
      </c>
    </row>
    <row r="43" spans="1:17" x14ac:dyDescent="0.2">
      <c r="A43" s="31" t="s">
        <v>0</v>
      </c>
      <c r="B43" s="31"/>
      <c r="C43" s="31" t="s">
        <v>12</v>
      </c>
      <c r="D43" s="31" t="s">
        <v>13</v>
      </c>
    </row>
    <row r="44" spans="1:17" x14ac:dyDescent="0.2">
      <c r="A44" s="11" t="s">
        <v>389</v>
      </c>
      <c r="B44" s="11"/>
      <c r="C44" s="3" t="s">
        <v>138</v>
      </c>
      <c r="D44" s="3" t="s">
        <v>139</v>
      </c>
    </row>
    <row r="46" spans="1:17" x14ac:dyDescent="0.2">
      <c r="A46" s="30"/>
      <c r="B46" s="30"/>
      <c r="C46" s="29" t="s">
        <v>11</v>
      </c>
    </row>
    <row r="47" spans="1:17" x14ac:dyDescent="0.2">
      <c r="A47" s="31" t="s">
        <v>0</v>
      </c>
      <c r="B47" s="31"/>
      <c r="C47" s="31" t="s">
        <v>12</v>
      </c>
      <c r="D47" s="31" t="s">
        <v>13</v>
      </c>
    </row>
    <row r="48" spans="1:17" x14ac:dyDescent="0.2">
      <c r="A48" s="11" t="s">
        <v>435</v>
      </c>
      <c r="B48" s="11"/>
      <c r="C48" s="3" t="s">
        <v>11</v>
      </c>
      <c r="D48" s="3" t="s">
        <v>220</v>
      </c>
    </row>
    <row r="49" spans="1:4" x14ac:dyDescent="0.2">
      <c r="A49" s="11" t="s">
        <v>630</v>
      </c>
      <c r="B49" s="11"/>
      <c r="C49" s="3" t="s">
        <v>11</v>
      </c>
      <c r="D49" s="3" t="s">
        <v>95</v>
      </c>
    </row>
    <row r="51" spans="1:4" x14ac:dyDescent="0.2">
      <c r="A51" s="30"/>
      <c r="B51" s="30"/>
      <c r="C51" s="29" t="s">
        <v>15</v>
      </c>
    </row>
    <row r="52" spans="1:4" x14ac:dyDescent="0.2">
      <c r="A52" s="31" t="s">
        <v>0</v>
      </c>
      <c r="B52" s="31"/>
      <c r="C52" s="31" t="s">
        <v>12</v>
      </c>
      <c r="D52" s="31" t="s">
        <v>13</v>
      </c>
    </row>
    <row r="53" spans="1:4" x14ac:dyDescent="0.2">
      <c r="A53" s="11" t="s">
        <v>363</v>
      </c>
      <c r="B53" s="11"/>
      <c r="C53" s="3" t="s">
        <v>97</v>
      </c>
      <c r="D53" s="3" t="s">
        <v>136</v>
      </c>
    </row>
    <row r="54" spans="1:4" x14ac:dyDescent="0.2">
      <c r="A54" s="11" t="s">
        <v>120</v>
      </c>
      <c r="B54" s="11"/>
      <c r="C54" s="3" t="s">
        <v>97</v>
      </c>
      <c r="D54" s="3" t="s">
        <v>136</v>
      </c>
    </row>
  </sheetData>
  <mergeCells count="1">
    <mergeCell ref="F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7"/>
  <sheetViews>
    <sheetView workbookViewId="0">
      <selection activeCell="E13" sqref="E13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19.140625" style="3" bestFit="1" customWidth="1"/>
    <col min="4" max="4" width="7.5703125" style="3" bestFit="1" customWidth="1"/>
    <col min="5" max="5" width="14.7109375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4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635</v>
      </c>
      <c r="B4" s="4" t="s">
        <v>753</v>
      </c>
      <c r="C4" s="5" t="s">
        <v>636</v>
      </c>
      <c r="D4" s="5" t="s">
        <v>379</v>
      </c>
      <c r="E4" s="42" t="s">
        <v>754</v>
      </c>
      <c r="F4" s="43" t="s">
        <v>637</v>
      </c>
      <c r="G4" s="6" t="s">
        <v>637</v>
      </c>
      <c r="H4" s="6" t="s">
        <v>637</v>
      </c>
      <c r="I4" s="6"/>
      <c r="J4" s="9" t="str">
        <f>"0.00"</f>
        <v>0.00</v>
      </c>
      <c r="K4" s="10"/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70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14" t="s">
        <v>639</v>
      </c>
      <c r="B7" s="14" t="s">
        <v>753</v>
      </c>
      <c r="C7" s="12" t="s">
        <v>640</v>
      </c>
      <c r="D7" s="12" t="s">
        <v>641</v>
      </c>
      <c r="E7" s="14" t="s">
        <v>754</v>
      </c>
      <c r="F7" s="12" t="s">
        <v>317</v>
      </c>
      <c r="G7" s="12" t="s">
        <v>135</v>
      </c>
      <c r="H7" s="12" t="s">
        <v>329</v>
      </c>
      <c r="I7" s="15"/>
      <c r="J7" s="16" t="str">
        <f>"320,0"</f>
        <v>320,0</v>
      </c>
      <c r="K7" s="17" t="str">
        <f>"181,5840"</f>
        <v>181,5840</v>
      </c>
      <c r="L7" s="14"/>
    </row>
    <row r="8" spans="1:20" x14ac:dyDescent="0.2">
      <c r="A8" s="18" t="s">
        <v>643</v>
      </c>
      <c r="B8" s="18" t="s">
        <v>753</v>
      </c>
      <c r="C8" s="13" t="s">
        <v>644</v>
      </c>
      <c r="D8" s="13" t="s">
        <v>645</v>
      </c>
      <c r="E8" s="18" t="s">
        <v>781</v>
      </c>
      <c r="F8" s="13" t="s">
        <v>60</v>
      </c>
      <c r="G8" s="19" t="s">
        <v>375</v>
      </c>
      <c r="H8" s="13" t="s">
        <v>375</v>
      </c>
      <c r="I8" s="19"/>
      <c r="J8" s="20" t="str">
        <f>"227,5"</f>
        <v>227,5</v>
      </c>
      <c r="K8" s="21" t="str">
        <f>"128,4693"</f>
        <v>128,4693</v>
      </c>
      <c r="L8" s="18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8" spans="1:17" x14ac:dyDescent="0.2">
      <c r="A18" s="35" t="s">
        <v>9</v>
      </c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28" t="s">
        <v>14</v>
      </c>
      <c r="B19" s="28"/>
      <c r="C19" s="29"/>
    </row>
    <row r="20" spans="1:17" x14ac:dyDescent="0.2">
      <c r="A20" s="30"/>
      <c r="B20" s="30"/>
      <c r="C20" s="29" t="s">
        <v>11</v>
      </c>
    </row>
    <row r="21" spans="1:17" x14ac:dyDescent="0.2">
      <c r="A21" s="38" t="s">
        <v>0</v>
      </c>
      <c r="B21" s="38"/>
      <c r="C21" s="38" t="s">
        <v>12</v>
      </c>
      <c r="D21" s="38" t="s">
        <v>13</v>
      </c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11" t="s">
        <v>638</v>
      </c>
      <c r="B22" s="11"/>
      <c r="C22" s="3" t="s">
        <v>11</v>
      </c>
      <c r="D22" s="3" t="s">
        <v>96</v>
      </c>
    </row>
    <row r="23" spans="1:17" x14ac:dyDescent="0.2">
      <c r="A23" s="11" t="s">
        <v>642</v>
      </c>
      <c r="B23" s="11"/>
      <c r="C23" s="3" t="s">
        <v>11</v>
      </c>
      <c r="D23" s="3" t="s">
        <v>96</v>
      </c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2"/>
  <sheetViews>
    <sheetView workbookViewId="0">
      <selection activeCell="E17" sqref="E17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9.5703125" style="2" bestFit="1" customWidth="1"/>
    <col min="6" max="8" width="5.5703125" style="3" customWidth="1"/>
    <col min="9" max="9" width="4.7109375" style="3" customWidth="1"/>
    <col min="10" max="10" width="5.7109375" style="7" bestFit="1" customWidth="1"/>
    <col min="11" max="11" width="8.5703125" style="8" bestFit="1" customWidth="1"/>
    <col min="12" max="12" width="12.57031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745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396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398</v>
      </c>
      <c r="B4" s="4" t="s">
        <v>752</v>
      </c>
      <c r="C4" s="5" t="s">
        <v>399</v>
      </c>
      <c r="D4" s="5" t="s">
        <v>400</v>
      </c>
      <c r="E4" s="42" t="s">
        <v>754</v>
      </c>
      <c r="F4" s="42" t="s">
        <v>68</v>
      </c>
      <c r="G4" s="5" t="s">
        <v>241</v>
      </c>
      <c r="H4" s="6" t="s">
        <v>110</v>
      </c>
      <c r="I4" s="6"/>
      <c r="J4" s="9" t="str">
        <f>"112,5"</f>
        <v>112,5</v>
      </c>
      <c r="K4" s="10" t="str">
        <f>"133,6950"</f>
        <v>133,6950</v>
      </c>
      <c r="L4" s="4"/>
    </row>
    <row r="5" spans="1:20" s="3" customFormat="1" x14ac:dyDescent="0.2">
      <c r="A5" s="2"/>
      <c r="B5" s="4" t="s">
        <v>752</v>
      </c>
      <c r="E5" s="2"/>
      <c r="J5" s="7"/>
      <c r="K5" s="8"/>
      <c r="L5" s="2"/>
    </row>
    <row r="6" spans="1:20" x14ac:dyDescent="0.2">
      <c r="A6" s="29" t="s">
        <v>105</v>
      </c>
      <c r="B6" s="4" t="s">
        <v>752</v>
      </c>
      <c r="C6" s="32"/>
      <c r="D6" s="32"/>
      <c r="E6" s="32"/>
      <c r="F6" s="32"/>
      <c r="G6" s="32"/>
      <c r="H6" s="32"/>
      <c r="I6" s="32"/>
    </row>
    <row r="7" spans="1:20" x14ac:dyDescent="0.2">
      <c r="A7" s="4" t="s">
        <v>658</v>
      </c>
      <c r="B7" s="4" t="s">
        <v>752</v>
      </c>
      <c r="C7" s="5" t="s">
        <v>659</v>
      </c>
      <c r="D7" s="5" t="s">
        <v>660</v>
      </c>
      <c r="E7" s="4" t="s">
        <v>754</v>
      </c>
      <c r="F7" s="5" t="s">
        <v>241</v>
      </c>
      <c r="G7" s="6" t="s">
        <v>244</v>
      </c>
      <c r="H7" s="6" t="s">
        <v>244</v>
      </c>
      <c r="I7" s="6"/>
      <c r="J7" s="9" t="str">
        <f>"112,5"</f>
        <v>112,5</v>
      </c>
      <c r="K7" s="10" t="str">
        <f>"120,5550"</f>
        <v>120,5550</v>
      </c>
      <c r="L7" s="4"/>
    </row>
    <row r="8" spans="1:20" x14ac:dyDescent="0.2">
      <c r="B8" s="4" t="s">
        <v>752</v>
      </c>
    </row>
    <row r="9" spans="1:20" x14ac:dyDescent="0.2">
      <c r="A9" s="33" t="s">
        <v>142</v>
      </c>
      <c r="B9" s="4" t="s">
        <v>752</v>
      </c>
      <c r="C9" s="34"/>
      <c r="D9" s="34"/>
      <c r="E9" s="34"/>
      <c r="F9" s="34"/>
      <c r="G9" s="34"/>
      <c r="H9" s="34"/>
      <c r="I9" s="34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4" t="s">
        <v>662</v>
      </c>
      <c r="B10" s="4" t="s">
        <v>752</v>
      </c>
      <c r="C10" s="5" t="s">
        <v>663</v>
      </c>
      <c r="D10" s="5" t="s">
        <v>664</v>
      </c>
      <c r="E10" s="4" t="s">
        <v>782</v>
      </c>
      <c r="F10" s="5" t="s">
        <v>33</v>
      </c>
      <c r="G10" s="5" t="s">
        <v>467</v>
      </c>
      <c r="H10" s="5" t="s">
        <v>34</v>
      </c>
      <c r="I10" s="6"/>
      <c r="J10" s="9" t="str">
        <f>"150,0"</f>
        <v>150,0</v>
      </c>
      <c r="K10" s="10" t="str">
        <f>"148,5450"</f>
        <v>148,5450</v>
      </c>
      <c r="L10" s="4"/>
    </row>
    <row r="11" spans="1:20" x14ac:dyDescent="0.2">
      <c r="B11" s="4" t="s">
        <v>752</v>
      </c>
    </row>
    <row r="12" spans="1:20" x14ac:dyDescent="0.2">
      <c r="A12" s="33" t="s">
        <v>154</v>
      </c>
      <c r="B12" s="4" t="s">
        <v>752</v>
      </c>
      <c r="C12" s="34"/>
      <c r="D12" s="34"/>
      <c r="E12" s="34"/>
      <c r="F12" s="34"/>
      <c r="G12" s="34"/>
      <c r="H12" s="34"/>
      <c r="I12" s="34"/>
      <c r="J12" s="36"/>
      <c r="K12" s="36"/>
      <c r="L12" s="35"/>
      <c r="M12" s="37"/>
      <c r="N12" s="37"/>
      <c r="O12" s="37"/>
      <c r="P12" s="37"/>
      <c r="Q12" s="37"/>
    </row>
    <row r="13" spans="1:20" x14ac:dyDescent="0.2">
      <c r="A13" s="14" t="s">
        <v>666</v>
      </c>
      <c r="B13" s="4" t="s">
        <v>752</v>
      </c>
      <c r="C13" s="12" t="s">
        <v>667</v>
      </c>
      <c r="D13" s="12" t="s">
        <v>668</v>
      </c>
      <c r="E13" s="14" t="s">
        <v>768</v>
      </c>
      <c r="F13" s="12" t="s">
        <v>34</v>
      </c>
      <c r="G13" s="12" t="s">
        <v>76</v>
      </c>
      <c r="H13" s="15" t="s">
        <v>22</v>
      </c>
      <c r="I13" s="15"/>
      <c r="J13" s="16" t="str">
        <f>"157,5"</f>
        <v>157,5</v>
      </c>
      <c r="K13" s="17" t="str">
        <f>"148,4831"</f>
        <v>148,4831</v>
      </c>
      <c r="L13" s="14"/>
    </row>
    <row r="14" spans="1:20" x14ac:dyDescent="0.2">
      <c r="A14" s="18" t="s">
        <v>670</v>
      </c>
      <c r="B14" s="4" t="s">
        <v>752</v>
      </c>
      <c r="C14" s="13" t="s">
        <v>671</v>
      </c>
      <c r="D14" s="13" t="s">
        <v>672</v>
      </c>
      <c r="E14" s="18" t="s">
        <v>754</v>
      </c>
      <c r="F14" s="13" t="s">
        <v>18</v>
      </c>
      <c r="G14" s="13" t="s">
        <v>257</v>
      </c>
      <c r="H14" s="13" t="s">
        <v>268</v>
      </c>
      <c r="I14" s="19"/>
      <c r="J14" s="20" t="str">
        <f>"92,5"</f>
        <v>92,5</v>
      </c>
      <c r="K14" s="21" t="str">
        <f>"95,7848"</f>
        <v>95,7848</v>
      </c>
      <c r="L14" s="18" t="s">
        <v>376</v>
      </c>
    </row>
    <row r="15" spans="1:20" x14ac:dyDescent="0.2">
      <c r="A15" s="35"/>
      <c r="B15" s="4" t="s">
        <v>752</v>
      </c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29" t="s">
        <v>111</v>
      </c>
      <c r="B16" s="4" t="s">
        <v>752</v>
      </c>
      <c r="C16" s="32"/>
      <c r="D16" s="32"/>
      <c r="E16" s="32"/>
      <c r="F16" s="32"/>
      <c r="G16" s="32"/>
      <c r="H16" s="32"/>
      <c r="I16" s="32"/>
    </row>
    <row r="17" spans="1:17" x14ac:dyDescent="0.2">
      <c r="A17" s="4" t="s">
        <v>674</v>
      </c>
      <c r="B17" s="4" t="s">
        <v>752</v>
      </c>
      <c r="C17" s="5" t="s">
        <v>675</v>
      </c>
      <c r="D17" s="5" t="s">
        <v>676</v>
      </c>
      <c r="E17" s="4" t="s">
        <v>783</v>
      </c>
      <c r="F17" s="5" t="s">
        <v>273</v>
      </c>
      <c r="G17" s="5" t="s">
        <v>34</v>
      </c>
      <c r="H17" s="5" t="s">
        <v>218</v>
      </c>
      <c r="I17" s="6"/>
      <c r="J17" s="9" t="str">
        <f>"155,0"</f>
        <v>155,0</v>
      </c>
      <c r="K17" s="10" t="str">
        <f>"135,8498"</f>
        <v>135,8498</v>
      </c>
      <c r="L17" s="4"/>
    </row>
    <row r="18" spans="1:17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29" t="s">
        <v>105</v>
      </c>
      <c r="B19" s="29"/>
      <c r="C19" s="32"/>
      <c r="D19" s="32"/>
      <c r="E19" s="32"/>
      <c r="F19" s="32"/>
      <c r="G19" s="32"/>
      <c r="H19" s="32"/>
      <c r="I19" s="32"/>
    </row>
    <row r="20" spans="1:17" x14ac:dyDescent="0.2">
      <c r="A20" s="4" t="s">
        <v>677</v>
      </c>
      <c r="B20" s="4" t="s">
        <v>753</v>
      </c>
      <c r="C20" s="5" t="s">
        <v>678</v>
      </c>
      <c r="D20" s="5" t="s">
        <v>679</v>
      </c>
      <c r="E20" s="4" t="s">
        <v>754</v>
      </c>
      <c r="F20" s="6" t="s">
        <v>23</v>
      </c>
      <c r="G20" s="6" t="s">
        <v>23</v>
      </c>
      <c r="H20" s="6" t="s">
        <v>23</v>
      </c>
      <c r="I20" s="6"/>
      <c r="J20" s="9" t="str">
        <f>"0.00"</f>
        <v>0.00</v>
      </c>
      <c r="K20" s="10" t="str">
        <f>"0,0000"</f>
        <v>0,0000</v>
      </c>
      <c r="L20" s="4" t="s">
        <v>680</v>
      </c>
    </row>
    <row r="21" spans="1:17" x14ac:dyDescent="0.2">
      <c r="A21" s="35"/>
      <c r="B21" s="4" t="s">
        <v>753</v>
      </c>
      <c r="C21" s="35"/>
      <c r="D21" s="35"/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2" spans="1:17" x14ac:dyDescent="0.2">
      <c r="A22" s="29" t="s">
        <v>111</v>
      </c>
      <c r="B22" s="4" t="s">
        <v>753</v>
      </c>
      <c r="C22" s="32"/>
      <c r="D22" s="32"/>
      <c r="E22" s="32"/>
      <c r="F22" s="32"/>
      <c r="G22" s="32"/>
      <c r="H22" s="32"/>
      <c r="I22" s="32"/>
    </row>
    <row r="23" spans="1:17" x14ac:dyDescent="0.2">
      <c r="A23" s="4" t="s">
        <v>682</v>
      </c>
      <c r="B23" s="4" t="s">
        <v>753</v>
      </c>
      <c r="C23" s="5" t="s">
        <v>683</v>
      </c>
      <c r="D23" s="5" t="s">
        <v>684</v>
      </c>
      <c r="E23" s="4" t="s">
        <v>754</v>
      </c>
      <c r="F23" s="5" t="s">
        <v>330</v>
      </c>
      <c r="G23" s="5" t="s">
        <v>362</v>
      </c>
      <c r="H23" s="6" t="s">
        <v>236</v>
      </c>
      <c r="I23" s="6"/>
      <c r="J23" s="9" t="str">
        <f>"265,0"</f>
        <v>265,0</v>
      </c>
      <c r="K23" s="10" t="str">
        <f>"182,6380"</f>
        <v>182,6380</v>
      </c>
      <c r="L23" s="4" t="s">
        <v>685</v>
      </c>
    </row>
    <row r="24" spans="1:17" x14ac:dyDescent="0.2">
      <c r="B24" s="4" t="s">
        <v>753</v>
      </c>
    </row>
    <row r="25" spans="1:17" x14ac:dyDescent="0.2">
      <c r="A25" s="29" t="s">
        <v>99</v>
      </c>
      <c r="B25" s="4" t="s">
        <v>753</v>
      </c>
      <c r="C25" s="32"/>
      <c r="D25" s="32"/>
      <c r="E25" s="32"/>
      <c r="F25" s="32"/>
      <c r="G25" s="32"/>
      <c r="H25" s="32"/>
      <c r="I25" s="32"/>
    </row>
    <row r="26" spans="1:17" x14ac:dyDescent="0.2">
      <c r="A26" s="39" t="s">
        <v>687</v>
      </c>
      <c r="B26" s="4" t="s">
        <v>753</v>
      </c>
      <c r="C26" s="39" t="s">
        <v>570</v>
      </c>
      <c r="D26" s="39" t="s">
        <v>527</v>
      </c>
      <c r="E26" s="39" t="s">
        <v>763</v>
      </c>
      <c r="F26" s="39" t="s">
        <v>60</v>
      </c>
      <c r="G26" s="39" t="s">
        <v>688</v>
      </c>
      <c r="H26" s="40" t="s">
        <v>689</v>
      </c>
      <c r="I26" s="40"/>
      <c r="J26" s="41" t="str">
        <f>"212,5"</f>
        <v>212,5</v>
      </c>
      <c r="K26" s="41" t="str">
        <f>"130,9106"</f>
        <v>130,9106</v>
      </c>
      <c r="L26" s="39"/>
      <c r="M26" s="37"/>
      <c r="N26" s="37"/>
      <c r="O26" s="37"/>
      <c r="P26" s="37"/>
      <c r="Q26" s="37"/>
    </row>
    <row r="27" spans="1:17" x14ac:dyDescent="0.2">
      <c r="A27" s="23" t="s">
        <v>690</v>
      </c>
      <c r="B27" s="4" t="s">
        <v>753</v>
      </c>
      <c r="C27" s="22" t="s">
        <v>691</v>
      </c>
      <c r="D27" s="22" t="s">
        <v>361</v>
      </c>
      <c r="E27" s="23" t="s">
        <v>754</v>
      </c>
      <c r="F27" s="24" t="s">
        <v>89</v>
      </c>
      <c r="G27" s="24" t="s">
        <v>91</v>
      </c>
      <c r="H27" s="24" t="s">
        <v>91</v>
      </c>
      <c r="I27" s="24"/>
      <c r="J27" s="25" t="str">
        <f>"0.00"</f>
        <v>0.00</v>
      </c>
      <c r="K27" s="26" t="str">
        <f>"0,0000"</f>
        <v>0,0000</v>
      </c>
      <c r="L27" s="23"/>
    </row>
    <row r="28" spans="1:17" x14ac:dyDescent="0.2">
      <c r="A28" s="23" t="s">
        <v>369</v>
      </c>
      <c r="B28" s="4" t="s">
        <v>753</v>
      </c>
      <c r="C28" s="22" t="s">
        <v>370</v>
      </c>
      <c r="D28" s="22" t="s">
        <v>347</v>
      </c>
      <c r="E28" s="23" t="s">
        <v>762</v>
      </c>
      <c r="F28" s="24" t="s">
        <v>60</v>
      </c>
      <c r="G28" s="22" t="s">
        <v>60</v>
      </c>
      <c r="H28" s="24"/>
      <c r="I28" s="24"/>
      <c r="J28" s="25" t="str">
        <f>"200,0"</f>
        <v>200,0</v>
      </c>
      <c r="K28" s="26" t="str">
        <f>"128,8522"</f>
        <v>128,8522</v>
      </c>
      <c r="L28" s="23"/>
    </row>
    <row r="29" spans="1:17" x14ac:dyDescent="0.2">
      <c r="A29" s="18" t="s">
        <v>693</v>
      </c>
      <c r="B29" s="4" t="s">
        <v>753</v>
      </c>
      <c r="C29" s="13" t="s">
        <v>694</v>
      </c>
      <c r="D29" s="13" t="s">
        <v>695</v>
      </c>
      <c r="E29" s="18" t="s">
        <v>754</v>
      </c>
      <c r="F29" s="13" t="s">
        <v>273</v>
      </c>
      <c r="G29" s="13" t="s">
        <v>218</v>
      </c>
      <c r="H29" s="13" t="s">
        <v>36</v>
      </c>
      <c r="I29" s="19"/>
      <c r="J29" s="20" t="str">
        <f>"160,0"</f>
        <v>160,0</v>
      </c>
      <c r="K29" s="21" t="str">
        <f>"133,3032"</f>
        <v>133,3032</v>
      </c>
      <c r="L29" s="18"/>
    </row>
    <row r="30" spans="1:17" x14ac:dyDescent="0.2">
      <c r="A30" s="35"/>
      <c r="B30" s="4" t="s">
        <v>753</v>
      </c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1" spans="1:17" x14ac:dyDescent="0.2">
      <c r="A31" s="29" t="s">
        <v>4</v>
      </c>
      <c r="B31" s="4" t="s">
        <v>753</v>
      </c>
      <c r="C31" s="32"/>
      <c r="D31" s="32"/>
      <c r="E31" s="32"/>
      <c r="F31" s="32"/>
      <c r="G31" s="32"/>
      <c r="H31" s="32"/>
      <c r="I31" s="32"/>
    </row>
    <row r="32" spans="1:17" x14ac:dyDescent="0.2">
      <c r="A32" s="14" t="s">
        <v>535</v>
      </c>
      <c r="B32" s="4" t="s">
        <v>753</v>
      </c>
      <c r="C32" s="12" t="s">
        <v>536</v>
      </c>
      <c r="D32" s="12" t="s">
        <v>537</v>
      </c>
      <c r="E32" s="14" t="s">
        <v>773</v>
      </c>
      <c r="F32" s="12" t="s">
        <v>65</v>
      </c>
      <c r="G32" s="12" t="s">
        <v>83</v>
      </c>
      <c r="H32" s="15"/>
      <c r="I32" s="15"/>
      <c r="J32" s="16" t="str">
        <f>"240,0"</f>
        <v>240,0</v>
      </c>
      <c r="K32" s="17" t="str">
        <f>"142,5600"</f>
        <v>142,5600</v>
      </c>
      <c r="L32" s="14"/>
    </row>
    <row r="33" spans="1:17" x14ac:dyDescent="0.2">
      <c r="A33" s="18" t="s">
        <v>697</v>
      </c>
      <c r="B33" s="4" t="s">
        <v>753</v>
      </c>
      <c r="C33" s="13" t="s">
        <v>698</v>
      </c>
      <c r="D33" s="13" t="s">
        <v>699</v>
      </c>
      <c r="E33" s="18" t="s">
        <v>754</v>
      </c>
      <c r="F33" s="19" t="s">
        <v>218</v>
      </c>
      <c r="G33" s="13" t="s">
        <v>218</v>
      </c>
      <c r="H33" s="13" t="s">
        <v>23</v>
      </c>
      <c r="I33" s="19"/>
      <c r="J33" s="20" t="str">
        <f>"170,0"</f>
        <v>170,0</v>
      </c>
      <c r="K33" s="21" t="str">
        <f>"101,7924"</f>
        <v>101,7924</v>
      </c>
      <c r="L33" s="18"/>
    </row>
    <row r="34" spans="1:17" x14ac:dyDescent="0.2">
      <c r="B34" s="4" t="s">
        <v>753</v>
      </c>
    </row>
    <row r="35" spans="1:17" x14ac:dyDescent="0.2">
      <c r="A35" s="29" t="s">
        <v>70</v>
      </c>
      <c r="B35" s="4" t="s">
        <v>753</v>
      </c>
      <c r="C35" s="32"/>
      <c r="D35" s="32"/>
      <c r="E35" s="32"/>
      <c r="F35" s="32"/>
      <c r="G35" s="32"/>
      <c r="H35" s="32"/>
      <c r="I35" s="32"/>
    </row>
    <row r="36" spans="1:17" x14ac:dyDescent="0.2">
      <c r="A36" s="14" t="s">
        <v>701</v>
      </c>
      <c r="B36" s="4" t="s">
        <v>753</v>
      </c>
      <c r="C36" s="12" t="s">
        <v>702</v>
      </c>
      <c r="D36" s="12" t="s">
        <v>208</v>
      </c>
      <c r="E36" s="14" t="s">
        <v>754</v>
      </c>
      <c r="F36" s="12" t="s">
        <v>84</v>
      </c>
      <c r="G36" s="12" t="s">
        <v>83</v>
      </c>
      <c r="H36" s="15" t="s">
        <v>236</v>
      </c>
      <c r="I36" s="15"/>
      <c r="J36" s="16" t="str">
        <f>"240,0"</f>
        <v>240,0</v>
      </c>
      <c r="K36" s="17" t="str">
        <f>"136,1520"</f>
        <v>136,1520</v>
      </c>
      <c r="L36" s="14"/>
    </row>
    <row r="37" spans="1:17" x14ac:dyDescent="0.2">
      <c r="A37" s="44" t="s">
        <v>704</v>
      </c>
      <c r="B37" s="4" t="s">
        <v>753</v>
      </c>
      <c r="C37" s="44" t="s">
        <v>705</v>
      </c>
      <c r="D37" s="44" t="s">
        <v>706</v>
      </c>
      <c r="E37" s="44" t="s">
        <v>763</v>
      </c>
      <c r="F37" s="44" t="s">
        <v>66</v>
      </c>
      <c r="G37" s="44" t="s">
        <v>231</v>
      </c>
      <c r="H37" s="44" t="s">
        <v>236</v>
      </c>
      <c r="I37" s="45"/>
      <c r="J37" s="46" t="str">
        <f>"270,0"</f>
        <v>270,0</v>
      </c>
      <c r="K37" s="46" t="str">
        <f>"160,2993"</f>
        <v>160,2993</v>
      </c>
      <c r="L37" s="44"/>
      <c r="M37" s="37"/>
      <c r="N37" s="37"/>
      <c r="O37" s="37"/>
      <c r="P37" s="37"/>
      <c r="Q37" s="37"/>
    </row>
    <row r="38" spans="1:17" x14ac:dyDescent="0.2">
      <c r="B38" s="4" t="s">
        <v>753</v>
      </c>
    </row>
    <row r="39" spans="1:17" x14ac:dyDescent="0.2">
      <c r="A39" s="29" t="s">
        <v>26</v>
      </c>
      <c r="B39" s="4" t="s">
        <v>753</v>
      </c>
      <c r="C39" s="32"/>
      <c r="D39" s="32"/>
      <c r="E39" s="32"/>
      <c r="F39" s="32"/>
      <c r="G39" s="32"/>
      <c r="H39" s="32"/>
      <c r="I39" s="32"/>
    </row>
    <row r="40" spans="1:17" x14ac:dyDescent="0.2">
      <c r="A40" s="4" t="s">
        <v>708</v>
      </c>
      <c r="B40" s="4" t="s">
        <v>753</v>
      </c>
      <c r="C40" s="5" t="s">
        <v>709</v>
      </c>
      <c r="D40" s="5" t="s">
        <v>710</v>
      </c>
      <c r="E40" s="4" t="s">
        <v>763</v>
      </c>
      <c r="F40" s="5" t="s">
        <v>57</v>
      </c>
      <c r="G40" s="5" t="s">
        <v>69</v>
      </c>
      <c r="H40" s="5" t="s">
        <v>129</v>
      </c>
      <c r="I40" s="6"/>
      <c r="J40" s="9" t="str">
        <f>"225,0"</f>
        <v>225,0</v>
      </c>
      <c r="K40" s="10" t="str">
        <f>"125,9438"</f>
        <v>125,9438</v>
      </c>
      <c r="L40" s="4"/>
    </row>
    <row r="50" spans="1:4" x14ac:dyDescent="0.2">
      <c r="A50" s="2" t="s">
        <v>9</v>
      </c>
    </row>
    <row r="51" spans="1:4" x14ac:dyDescent="0.2">
      <c r="A51" s="28" t="s">
        <v>10</v>
      </c>
      <c r="B51" s="28"/>
      <c r="C51" s="29"/>
    </row>
    <row r="52" spans="1:4" x14ac:dyDescent="0.2">
      <c r="A52" s="30"/>
      <c r="B52" s="30"/>
      <c r="C52" s="29" t="s">
        <v>11</v>
      </c>
    </row>
    <row r="53" spans="1:4" x14ac:dyDescent="0.2">
      <c r="A53" s="31" t="s">
        <v>0</v>
      </c>
      <c r="B53" s="31"/>
      <c r="C53" s="31" t="s">
        <v>12</v>
      </c>
      <c r="D53" s="31" t="s">
        <v>13</v>
      </c>
    </row>
    <row r="54" spans="1:4" x14ac:dyDescent="0.2">
      <c r="A54" s="11" t="s">
        <v>661</v>
      </c>
      <c r="B54" s="11"/>
      <c r="C54" s="3" t="s">
        <v>11</v>
      </c>
      <c r="D54" s="3" t="s">
        <v>220</v>
      </c>
    </row>
    <row r="55" spans="1:4" x14ac:dyDescent="0.2">
      <c r="A55" s="11" t="s">
        <v>665</v>
      </c>
      <c r="B55" s="11"/>
      <c r="C55" s="3" t="s">
        <v>11</v>
      </c>
      <c r="D55" s="3" t="s">
        <v>222</v>
      </c>
    </row>
    <row r="56" spans="1:4" x14ac:dyDescent="0.2">
      <c r="A56" s="11" t="s">
        <v>673</v>
      </c>
      <c r="B56" s="11"/>
      <c r="C56" s="3" t="s">
        <v>11</v>
      </c>
      <c r="D56" s="3" t="s">
        <v>141</v>
      </c>
    </row>
    <row r="57" spans="1:4" x14ac:dyDescent="0.2">
      <c r="A57" s="11" t="s">
        <v>397</v>
      </c>
      <c r="B57" s="11"/>
      <c r="C57" s="3" t="s">
        <v>11</v>
      </c>
      <c r="D57" s="3" t="s">
        <v>614</v>
      </c>
    </row>
    <row r="58" spans="1:4" x14ac:dyDescent="0.2">
      <c r="A58" s="11" t="s">
        <v>657</v>
      </c>
      <c r="B58" s="11"/>
      <c r="C58" s="3" t="s">
        <v>11</v>
      </c>
      <c r="D58" s="3" t="s">
        <v>139</v>
      </c>
    </row>
    <row r="60" spans="1:4" x14ac:dyDescent="0.2">
      <c r="A60" s="30"/>
      <c r="B60" s="30"/>
      <c r="C60" s="29" t="s">
        <v>15</v>
      </c>
    </row>
    <row r="61" spans="1:4" x14ac:dyDescent="0.2">
      <c r="A61" s="31" t="s">
        <v>0</v>
      </c>
      <c r="B61" s="31"/>
      <c r="C61" s="31" t="s">
        <v>12</v>
      </c>
      <c r="D61" s="31" t="s">
        <v>13</v>
      </c>
    </row>
    <row r="62" spans="1:4" x14ac:dyDescent="0.2">
      <c r="A62" s="11" t="s">
        <v>669</v>
      </c>
      <c r="B62" s="11"/>
      <c r="C62" s="3" t="s">
        <v>16</v>
      </c>
      <c r="D62" s="3" t="s">
        <v>222</v>
      </c>
    </row>
    <row r="65" spans="1:4" x14ac:dyDescent="0.2">
      <c r="A65" s="28" t="s">
        <v>14</v>
      </c>
      <c r="B65" s="28"/>
      <c r="C65" s="29"/>
    </row>
    <row r="66" spans="1:4" x14ac:dyDescent="0.2">
      <c r="A66" s="30"/>
      <c r="B66" s="30"/>
      <c r="C66" s="29" t="s">
        <v>137</v>
      </c>
    </row>
    <row r="67" spans="1:4" x14ac:dyDescent="0.2">
      <c r="A67" s="31" t="s">
        <v>0</v>
      </c>
      <c r="B67" s="31"/>
      <c r="C67" s="31" t="s">
        <v>12</v>
      </c>
      <c r="D67" s="31" t="s">
        <v>13</v>
      </c>
    </row>
    <row r="68" spans="1:4" x14ac:dyDescent="0.2">
      <c r="A68" s="11" t="s">
        <v>707</v>
      </c>
      <c r="B68" s="11"/>
      <c r="C68" s="3" t="s">
        <v>138</v>
      </c>
      <c r="D68" s="3" t="s">
        <v>37</v>
      </c>
    </row>
    <row r="70" spans="1:4" x14ac:dyDescent="0.2">
      <c r="A70" s="30"/>
      <c r="B70" s="30"/>
      <c r="C70" s="29" t="s">
        <v>11</v>
      </c>
    </row>
    <row r="71" spans="1:4" x14ac:dyDescent="0.2">
      <c r="A71" s="31" t="s">
        <v>0</v>
      </c>
      <c r="B71" s="31"/>
      <c r="C71" s="31" t="s">
        <v>12</v>
      </c>
      <c r="D71" s="31" t="s">
        <v>13</v>
      </c>
    </row>
    <row r="72" spans="1:4" x14ac:dyDescent="0.2">
      <c r="A72" s="11" t="s">
        <v>681</v>
      </c>
      <c r="B72" s="11"/>
      <c r="C72" s="3" t="s">
        <v>11</v>
      </c>
      <c r="D72" s="3" t="s">
        <v>141</v>
      </c>
    </row>
    <row r="73" spans="1:4" x14ac:dyDescent="0.2">
      <c r="A73" s="11" t="s">
        <v>534</v>
      </c>
      <c r="B73" s="11"/>
      <c r="C73" s="3" t="s">
        <v>11</v>
      </c>
      <c r="D73" s="3" t="s">
        <v>17</v>
      </c>
    </row>
    <row r="74" spans="1:4" x14ac:dyDescent="0.2">
      <c r="A74" s="11" t="s">
        <v>700</v>
      </c>
      <c r="B74" s="11"/>
      <c r="C74" s="3" t="s">
        <v>11</v>
      </c>
      <c r="D74" s="3" t="s">
        <v>96</v>
      </c>
    </row>
    <row r="75" spans="1:4" x14ac:dyDescent="0.2">
      <c r="A75" s="11" t="s">
        <v>686</v>
      </c>
      <c r="B75" s="11"/>
      <c r="C75" s="3" t="s">
        <v>11</v>
      </c>
      <c r="D75" s="3" t="s">
        <v>136</v>
      </c>
    </row>
    <row r="77" spans="1:4" x14ac:dyDescent="0.2">
      <c r="A77" s="30"/>
      <c r="B77" s="30"/>
      <c r="C77" s="29" t="s">
        <v>15</v>
      </c>
    </row>
    <row r="78" spans="1:4" x14ac:dyDescent="0.2">
      <c r="A78" s="31" t="s">
        <v>0</v>
      </c>
      <c r="B78" s="31"/>
      <c r="C78" s="31" t="s">
        <v>12</v>
      </c>
      <c r="D78" s="31" t="s">
        <v>13</v>
      </c>
    </row>
    <row r="79" spans="1:4" x14ac:dyDescent="0.2">
      <c r="A79" s="11" t="s">
        <v>703</v>
      </c>
      <c r="B79" s="11"/>
      <c r="C79" s="3" t="s">
        <v>98</v>
      </c>
      <c r="D79" s="3" t="s">
        <v>96</v>
      </c>
    </row>
    <row r="80" spans="1:4" x14ac:dyDescent="0.2">
      <c r="A80" s="11" t="s">
        <v>692</v>
      </c>
      <c r="B80" s="11"/>
      <c r="C80" s="3" t="s">
        <v>223</v>
      </c>
      <c r="D80" s="3" t="s">
        <v>136</v>
      </c>
    </row>
    <row r="81" spans="1:4" x14ac:dyDescent="0.2">
      <c r="A81" s="11" t="s">
        <v>363</v>
      </c>
      <c r="B81" s="11"/>
      <c r="C81" s="3" t="s">
        <v>97</v>
      </c>
      <c r="D81" s="3" t="s">
        <v>136</v>
      </c>
    </row>
    <row r="82" spans="1:4" x14ac:dyDescent="0.2">
      <c r="A82" s="11" t="s">
        <v>696</v>
      </c>
      <c r="B82" s="11"/>
      <c r="C82" s="3" t="s">
        <v>97</v>
      </c>
      <c r="D82" s="3" t="s">
        <v>17</v>
      </c>
    </row>
  </sheetData>
  <mergeCells count="1">
    <mergeCell ref="F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workbookViewId="0">
      <selection activeCell="B7" sqref="B7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9" width="5.5703125" style="3" customWidth="1"/>
    <col min="10" max="10" width="5.7109375" style="7" bestFit="1" customWidth="1"/>
    <col min="11" max="11" width="8.5703125" style="8" bestFit="1" customWidth="1"/>
    <col min="12" max="12" width="7.1406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742</v>
      </c>
      <c r="F1" s="60" t="s">
        <v>745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105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390</v>
      </c>
      <c r="B4" s="4" t="s">
        <v>753</v>
      </c>
      <c r="C4" s="5" t="s">
        <v>391</v>
      </c>
      <c r="D4" s="5" t="s">
        <v>392</v>
      </c>
      <c r="E4" s="42" t="s">
        <v>761</v>
      </c>
      <c r="F4" s="42" t="s">
        <v>31</v>
      </c>
      <c r="G4" s="5" t="s">
        <v>33</v>
      </c>
      <c r="H4" s="5" t="s">
        <v>36</v>
      </c>
      <c r="I4" s="6" t="s">
        <v>36</v>
      </c>
      <c r="J4" s="9" t="str">
        <f>"160,0"</f>
        <v>160,0</v>
      </c>
      <c r="K4" s="10" t="str">
        <f>"146,3680"</f>
        <v>146,3680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99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121</v>
      </c>
      <c r="B7" s="4" t="s">
        <v>753</v>
      </c>
      <c r="C7" s="5" t="s">
        <v>122</v>
      </c>
      <c r="D7" s="5" t="s">
        <v>123</v>
      </c>
      <c r="E7" s="4" t="s">
        <v>761</v>
      </c>
      <c r="F7" s="5" t="s">
        <v>60</v>
      </c>
      <c r="G7" s="5" t="s">
        <v>84</v>
      </c>
      <c r="H7" s="5" t="s">
        <v>65</v>
      </c>
      <c r="I7" s="6"/>
      <c r="J7" s="9" t="str">
        <f>"230,0"</f>
        <v>230,0</v>
      </c>
      <c r="K7" s="10" t="str">
        <f>"151,6465"</f>
        <v>151,6465</v>
      </c>
      <c r="L7" s="4"/>
    </row>
    <row r="9" spans="1:20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6"/>
      <c r="L9" s="35"/>
      <c r="M9" s="37"/>
      <c r="N9" s="37"/>
      <c r="O9" s="37"/>
      <c r="P9" s="37"/>
      <c r="Q9" s="37"/>
    </row>
    <row r="12" spans="1:20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5"/>
      <c r="M12" s="37"/>
      <c r="N12" s="37"/>
      <c r="O12" s="37"/>
      <c r="P12" s="37"/>
      <c r="Q12" s="37"/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5"/>
      <c r="M15" s="37"/>
      <c r="N15" s="37"/>
      <c r="O15" s="37"/>
      <c r="P15" s="37"/>
      <c r="Q15" s="37"/>
    </row>
    <row r="17" spans="1:17" x14ac:dyDescent="0.2">
      <c r="A17" s="2" t="s">
        <v>9</v>
      </c>
    </row>
    <row r="18" spans="1:17" x14ac:dyDescent="0.2">
      <c r="A18" s="33" t="s">
        <v>14</v>
      </c>
      <c r="B18" s="33"/>
      <c r="C18" s="33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30"/>
      <c r="B19" s="30"/>
      <c r="C19" s="29" t="s">
        <v>137</v>
      </c>
    </row>
    <row r="20" spans="1:17" x14ac:dyDescent="0.2">
      <c r="A20" s="31" t="s">
        <v>0</v>
      </c>
      <c r="B20" s="31"/>
      <c r="C20" s="31" t="s">
        <v>12</v>
      </c>
      <c r="D20" s="31" t="s">
        <v>13</v>
      </c>
    </row>
    <row r="21" spans="1:17" x14ac:dyDescent="0.2">
      <c r="A21" s="35" t="s">
        <v>389</v>
      </c>
      <c r="B21" s="35"/>
      <c r="C21" s="35" t="s">
        <v>138</v>
      </c>
      <c r="D21" s="35" t="s">
        <v>139</v>
      </c>
      <c r="E21" s="35"/>
      <c r="F21" s="35"/>
      <c r="G21" s="35"/>
      <c r="H21" s="35"/>
      <c r="I21" s="35"/>
      <c r="J21" s="36"/>
      <c r="K21" s="36"/>
      <c r="L21" s="35"/>
      <c r="M21" s="37"/>
      <c r="N21" s="37"/>
      <c r="O21" s="37"/>
      <c r="P21" s="37"/>
      <c r="Q21" s="37"/>
    </row>
    <row r="23" spans="1:17" x14ac:dyDescent="0.2">
      <c r="A23" s="30"/>
      <c r="B23" s="30"/>
      <c r="C23" s="29" t="s">
        <v>15</v>
      </c>
    </row>
    <row r="24" spans="1:17" x14ac:dyDescent="0.2">
      <c r="A24" s="31" t="s">
        <v>0</v>
      </c>
      <c r="B24" s="31"/>
      <c r="C24" s="31" t="s">
        <v>12</v>
      </c>
      <c r="D24" s="31" t="s">
        <v>13</v>
      </c>
    </row>
    <row r="25" spans="1:17" x14ac:dyDescent="0.2">
      <c r="A25" s="11" t="s">
        <v>120</v>
      </c>
      <c r="B25" s="11"/>
      <c r="C25" s="3" t="s">
        <v>97</v>
      </c>
      <c r="D25" s="3" t="s">
        <v>136</v>
      </c>
    </row>
    <row r="26" spans="1:17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30" spans="1:17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6"/>
      <c r="K30" s="36"/>
      <c r="L30" s="35"/>
      <c r="M30" s="37"/>
      <c r="N30" s="37"/>
      <c r="O30" s="37"/>
      <c r="P30" s="37"/>
      <c r="Q30" s="37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</sheetData>
  <mergeCells count="1">
    <mergeCell ref="F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3"/>
  <sheetViews>
    <sheetView workbookViewId="0">
      <selection activeCell="C26" sqref="C26"/>
    </sheetView>
  </sheetViews>
  <sheetFormatPr defaultColWidth="9.140625" defaultRowHeight="12.75" x14ac:dyDescent="0.2"/>
  <cols>
    <col min="1" max="1" width="24.85546875" style="2" bestFit="1" customWidth="1"/>
    <col min="2" max="2" width="8.42578125" style="2" customWidth="1"/>
    <col min="3" max="3" width="26.5703125" style="3" bestFit="1" customWidth="1"/>
    <col min="4" max="4" width="7.5703125" style="3" bestFit="1" customWidth="1"/>
    <col min="5" max="5" width="14.7109375" style="2" bestFit="1" customWidth="1"/>
    <col min="6" max="8" width="4.5703125" style="3" customWidth="1"/>
    <col min="9" max="9" width="4.7109375" style="3" customWidth="1"/>
    <col min="10" max="10" width="5.7109375" style="7" bestFit="1" customWidth="1"/>
    <col min="11" max="11" width="7.5703125" style="8" bestFit="1" customWidth="1"/>
    <col min="12" max="12" width="16.42578125" style="2" bestFit="1" customWidth="1"/>
    <col min="13" max="16384" width="9.140625" style="1"/>
  </cols>
  <sheetData>
    <row r="1" spans="1:20" s="27" customFormat="1" ht="12.75" customHeight="1" x14ac:dyDescent="0.2">
      <c r="A1" s="57" t="s">
        <v>749</v>
      </c>
      <c r="B1" s="63" t="s">
        <v>751</v>
      </c>
      <c r="C1" s="58" t="s">
        <v>3</v>
      </c>
      <c r="D1" s="58" t="s">
        <v>741</v>
      </c>
      <c r="E1" s="50" t="s">
        <v>750</v>
      </c>
      <c r="F1" s="60" t="s">
        <v>744</v>
      </c>
      <c r="G1" s="61"/>
      <c r="H1" s="62"/>
      <c r="I1" s="50"/>
      <c r="J1" s="50" t="s">
        <v>746</v>
      </c>
      <c r="K1" s="50" t="s">
        <v>747</v>
      </c>
      <c r="L1" s="53" t="s">
        <v>748</v>
      </c>
      <c r="M1" s="52"/>
      <c r="N1" s="52"/>
      <c r="O1" s="52"/>
      <c r="P1" s="52"/>
      <c r="Q1" s="52"/>
      <c r="R1" s="52"/>
      <c r="S1" s="52"/>
      <c r="T1" s="52"/>
    </row>
    <row r="2" spans="1:20" s="27" customFormat="1" ht="23.25" customHeight="1" thickBot="1" x14ac:dyDescent="0.25">
      <c r="A2" s="59"/>
      <c r="B2" s="64"/>
      <c r="C2" s="51"/>
      <c r="D2" s="51"/>
      <c r="E2" s="51"/>
      <c r="F2" s="51">
        <v>1</v>
      </c>
      <c r="G2" s="51">
        <v>2</v>
      </c>
      <c r="H2" s="51">
        <v>3</v>
      </c>
      <c r="I2" s="51" t="s">
        <v>2</v>
      </c>
      <c r="J2" s="51"/>
      <c r="K2" s="51"/>
      <c r="L2" s="54"/>
      <c r="M2" s="52"/>
      <c r="N2" s="52"/>
      <c r="O2" s="52"/>
      <c r="P2" s="52"/>
      <c r="Q2" s="52"/>
      <c r="R2" s="52"/>
      <c r="S2" s="52"/>
      <c r="T2" s="52"/>
    </row>
    <row r="3" spans="1:20" s="3" customFormat="1" x14ac:dyDescent="0.2">
      <c r="A3" s="55" t="s">
        <v>105</v>
      </c>
      <c r="B3" s="55"/>
      <c r="C3" s="56"/>
      <c r="D3" s="56"/>
      <c r="E3" s="56"/>
      <c r="F3" s="56"/>
      <c r="G3" s="56"/>
      <c r="H3" s="56"/>
      <c r="I3" s="56"/>
      <c r="J3" s="36"/>
      <c r="K3" s="36"/>
      <c r="L3" s="35"/>
      <c r="M3" s="35"/>
      <c r="N3" s="35"/>
      <c r="O3" s="35"/>
      <c r="P3" s="35"/>
      <c r="Q3" s="35"/>
    </row>
    <row r="4" spans="1:20" s="3" customFormat="1" x14ac:dyDescent="0.2">
      <c r="A4" s="4" t="s">
        <v>712</v>
      </c>
      <c r="B4" s="4" t="s">
        <v>752</v>
      </c>
      <c r="C4" s="5" t="s">
        <v>713</v>
      </c>
      <c r="D4" s="5" t="s">
        <v>714</v>
      </c>
      <c r="E4" s="42" t="s">
        <v>784</v>
      </c>
      <c r="F4" s="43" t="s">
        <v>39</v>
      </c>
      <c r="G4" s="5" t="s">
        <v>39</v>
      </c>
      <c r="H4" s="6" t="s">
        <v>715</v>
      </c>
      <c r="I4" s="6"/>
      <c r="J4" s="9" t="str">
        <f>"27,5"</f>
        <v>27,5</v>
      </c>
      <c r="K4" s="10" t="str">
        <f>"30,2748"</f>
        <v>30,2748</v>
      </c>
      <c r="L4" s="4"/>
    </row>
    <row r="5" spans="1:20" s="3" customFormat="1" x14ac:dyDescent="0.2">
      <c r="A5" s="2"/>
      <c r="B5" s="2"/>
      <c r="E5" s="2"/>
      <c r="J5" s="7"/>
      <c r="K5" s="8"/>
      <c r="L5" s="2"/>
    </row>
    <row r="6" spans="1:20" x14ac:dyDescent="0.2">
      <c r="A6" s="29" t="s">
        <v>111</v>
      </c>
      <c r="B6" s="29"/>
      <c r="C6" s="32"/>
      <c r="D6" s="32"/>
      <c r="E6" s="32"/>
      <c r="F6" s="32"/>
      <c r="G6" s="32"/>
      <c r="H6" s="32"/>
      <c r="I6" s="32"/>
    </row>
    <row r="7" spans="1:20" x14ac:dyDescent="0.2">
      <c r="A7" s="4" t="s">
        <v>421</v>
      </c>
      <c r="B7" s="4" t="s">
        <v>752</v>
      </c>
      <c r="C7" s="5" t="s">
        <v>425</v>
      </c>
      <c r="D7" s="5" t="s">
        <v>423</v>
      </c>
      <c r="E7" s="4" t="s">
        <v>754</v>
      </c>
      <c r="F7" s="5" t="s">
        <v>159</v>
      </c>
      <c r="G7" s="5" t="s">
        <v>348</v>
      </c>
      <c r="H7" s="6" t="s">
        <v>45</v>
      </c>
      <c r="I7" s="6"/>
      <c r="J7" s="9" t="str">
        <f>"42,5"</f>
        <v>42,5</v>
      </c>
      <c r="K7" s="10" t="str">
        <f>"45,3152"</f>
        <v>45,3152</v>
      </c>
      <c r="L7" s="4" t="s">
        <v>424</v>
      </c>
    </row>
    <row r="9" spans="1:20" x14ac:dyDescent="0.2">
      <c r="A9" s="33" t="s">
        <v>166</v>
      </c>
      <c r="B9" s="33"/>
      <c r="C9" s="34"/>
      <c r="D9" s="34"/>
      <c r="E9" s="34"/>
      <c r="F9" s="34"/>
      <c r="G9" s="34"/>
      <c r="H9" s="34"/>
      <c r="I9" s="34"/>
      <c r="J9" s="36"/>
      <c r="K9" s="36"/>
      <c r="L9" s="35"/>
      <c r="M9" s="37"/>
      <c r="N9" s="37"/>
      <c r="O9" s="37"/>
      <c r="P9" s="37"/>
      <c r="Q9" s="37"/>
    </row>
    <row r="10" spans="1:20" x14ac:dyDescent="0.2">
      <c r="A10" s="4" t="s">
        <v>716</v>
      </c>
      <c r="B10" s="4" t="s">
        <v>752</v>
      </c>
      <c r="C10" s="5" t="s">
        <v>717</v>
      </c>
      <c r="D10" s="5" t="s">
        <v>718</v>
      </c>
      <c r="E10" s="4" t="s">
        <v>754</v>
      </c>
      <c r="F10" s="6" t="s">
        <v>104</v>
      </c>
      <c r="G10" s="6"/>
      <c r="H10" s="6"/>
      <c r="I10" s="6"/>
      <c r="J10" s="9" t="str">
        <f>"0.00"</f>
        <v>0.00</v>
      </c>
      <c r="K10" s="10" t="str">
        <f>"0,0000"</f>
        <v>0,0000</v>
      </c>
      <c r="L10" s="4"/>
    </row>
    <row r="12" spans="1:20" x14ac:dyDescent="0.2">
      <c r="A12" s="33" t="s">
        <v>154</v>
      </c>
      <c r="B12" s="33"/>
      <c r="C12" s="34"/>
      <c r="D12" s="34"/>
      <c r="E12" s="34"/>
      <c r="F12" s="34"/>
      <c r="G12" s="34"/>
      <c r="H12" s="34"/>
      <c r="I12" s="34"/>
      <c r="J12" s="36"/>
      <c r="K12" s="36"/>
      <c r="L12" s="35"/>
      <c r="M12" s="37"/>
      <c r="N12" s="37"/>
      <c r="O12" s="37"/>
      <c r="P12" s="37"/>
      <c r="Q12" s="37"/>
    </row>
    <row r="13" spans="1:20" x14ac:dyDescent="0.2">
      <c r="A13" s="4" t="s">
        <v>720</v>
      </c>
      <c r="B13" s="4" t="s">
        <v>753</v>
      </c>
      <c r="C13" s="5" t="s">
        <v>721</v>
      </c>
      <c r="D13" s="5" t="s">
        <v>722</v>
      </c>
      <c r="E13" s="4" t="s">
        <v>785</v>
      </c>
      <c r="F13" s="6" t="s">
        <v>165</v>
      </c>
      <c r="G13" s="5" t="s">
        <v>152</v>
      </c>
      <c r="H13" s="5" t="s">
        <v>46</v>
      </c>
      <c r="I13" s="6"/>
      <c r="J13" s="9" t="str">
        <f>"55,0"</f>
        <v>55,0</v>
      </c>
      <c r="K13" s="10" t="str">
        <f>"42,7818"</f>
        <v>42,7818</v>
      </c>
      <c r="L13" s="4"/>
    </row>
    <row r="14" spans="1:20" x14ac:dyDescent="0.2">
      <c r="B14" s="4" t="s">
        <v>753</v>
      </c>
    </row>
    <row r="15" spans="1:20" x14ac:dyDescent="0.2">
      <c r="A15" s="33" t="s">
        <v>111</v>
      </c>
      <c r="B15" s="4" t="s">
        <v>753</v>
      </c>
      <c r="C15" s="34"/>
      <c r="D15" s="34"/>
      <c r="E15" s="34"/>
      <c r="F15" s="34"/>
      <c r="G15" s="34"/>
      <c r="H15" s="34"/>
      <c r="I15" s="34"/>
      <c r="J15" s="36"/>
      <c r="K15" s="36"/>
      <c r="L15" s="35"/>
      <c r="M15" s="37"/>
      <c r="N15" s="37"/>
      <c r="O15" s="37"/>
      <c r="P15" s="37"/>
      <c r="Q15" s="37"/>
    </row>
    <row r="16" spans="1:20" x14ac:dyDescent="0.2">
      <c r="A16" s="14" t="s">
        <v>724</v>
      </c>
      <c r="B16" s="4" t="s">
        <v>753</v>
      </c>
      <c r="C16" s="12" t="s">
        <v>717</v>
      </c>
      <c r="D16" s="12" t="s">
        <v>684</v>
      </c>
      <c r="E16" s="14" t="s">
        <v>754</v>
      </c>
      <c r="F16" s="12" t="s">
        <v>104</v>
      </c>
      <c r="G16" s="15" t="s">
        <v>262</v>
      </c>
      <c r="H16" s="15" t="s">
        <v>262</v>
      </c>
      <c r="I16" s="15"/>
      <c r="J16" s="16" t="str">
        <f>"70,0"</f>
        <v>70,0</v>
      </c>
      <c r="K16" s="17" t="str">
        <f>"48,2440"</f>
        <v>48,2440</v>
      </c>
      <c r="L16" s="14"/>
    </row>
    <row r="17" spans="1:17" x14ac:dyDescent="0.2">
      <c r="A17" s="18" t="s">
        <v>726</v>
      </c>
      <c r="B17" s="4" t="s">
        <v>753</v>
      </c>
      <c r="C17" s="13" t="s">
        <v>727</v>
      </c>
      <c r="D17" s="13" t="s">
        <v>352</v>
      </c>
      <c r="E17" s="18" t="s">
        <v>754</v>
      </c>
      <c r="F17" s="13" t="s">
        <v>165</v>
      </c>
      <c r="G17" s="13" t="s">
        <v>153</v>
      </c>
      <c r="H17" s="19" t="s">
        <v>47</v>
      </c>
      <c r="I17" s="19"/>
      <c r="J17" s="20" t="str">
        <f>"57,5"</f>
        <v>57,5</v>
      </c>
      <c r="K17" s="21" t="str">
        <f>"42,5786"</f>
        <v>42,5786</v>
      </c>
      <c r="L17" s="18"/>
    </row>
    <row r="18" spans="1:17" x14ac:dyDescent="0.2">
      <c r="A18" s="35"/>
      <c r="B18" s="4" t="s">
        <v>753</v>
      </c>
      <c r="C18" s="35"/>
      <c r="D18" s="35"/>
      <c r="E18" s="35"/>
      <c r="F18" s="35"/>
      <c r="G18" s="35"/>
      <c r="H18" s="35"/>
      <c r="I18" s="35"/>
      <c r="J18" s="36"/>
      <c r="K18" s="36"/>
      <c r="L18" s="35"/>
      <c r="M18" s="37"/>
      <c r="N18" s="37"/>
      <c r="O18" s="37"/>
      <c r="P18" s="37"/>
      <c r="Q18" s="37"/>
    </row>
    <row r="19" spans="1:17" x14ac:dyDescent="0.2">
      <c r="A19" s="29" t="s">
        <v>51</v>
      </c>
      <c r="B19" s="4" t="s">
        <v>753</v>
      </c>
      <c r="C19" s="32"/>
      <c r="D19" s="32"/>
      <c r="E19" s="32"/>
      <c r="F19" s="32"/>
      <c r="G19" s="32"/>
      <c r="H19" s="32"/>
      <c r="I19" s="32"/>
    </row>
    <row r="20" spans="1:17" x14ac:dyDescent="0.2">
      <c r="A20" s="14" t="s">
        <v>728</v>
      </c>
      <c r="B20" s="4" t="s">
        <v>753</v>
      </c>
      <c r="C20" s="12" t="s">
        <v>491</v>
      </c>
      <c r="D20" s="12" t="s">
        <v>492</v>
      </c>
      <c r="E20" s="14" t="s">
        <v>754</v>
      </c>
      <c r="F20" s="15" t="s">
        <v>243</v>
      </c>
      <c r="G20" s="12" t="s">
        <v>48</v>
      </c>
      <c r="H20" s="12" t="s">
        <v>334</v>
      </c>
      <c r="I20" s="15"/>
      <c r="J20" s="16" t="str">
        <f>"67,5"</f>
        <v>67,5</v>
      </c>
      <c r="K20" s="17" t="str">
        <f>"43,8919"</f>
        <v>43,8919</v>
      </c>
      <c r="L20" s="14"/>
    </row>
    <row r="21" spans="1:17" x14ac:dyDescent="0.2">
      <c r="A21" s="47" t="s">
        <v>729</v>
      </c>
      <c r="B21" s="4" t="s">
        <v>753</v>
      </c>
      <c r="C21" s="47" t="s">
        <v>495</v>
      </c>
      <c r="D21" s="47" t="s">
        <v>496</v>
      </c>
      <c r="E21" s="47" t="s">
        <v>767</v>
      </c>
      <c r="F21" s="47" t="s">
        <v>47</v>
      </c>
      <c r="G21" s="48" t="s">
        <v>48</v>
      </c>
      <c r="H21" s="48" t="s">
        <v>48</v>
      </c>
      <c r="I21" s="48"/>
      <c r="J21" s="49" t="str">
        <f>"60,0"</f>
        <v>60,0</v>
      </c>
      <c r="K21" s="49" t="str">
        <f>"39,6720"</f>
        <v>39,6720</v>
      </c>
      <c r="L21" s="47"/>
      <c r="M21" s="37"/>
      <c r="N21" s="37"/>
      <c r="O21" s="37"/>
      <c r="P21" s="37"/>
      <c r="Q21" s="37"/>
    </row>
    <row r="22" spans="1:17" x14ac:dyDescent="0.2">
      <c r="A22" s="18" t="s">
        <v>730</v>
      </c>
      <c r="B22" s="4" t="s">
        <v>753</v>
      </c>
      <c r="C22" s="13" t="s">
        <v>504</v>
      </c>
      <c r="D22" s="13" t="s">
        <v>505</v>
      </c>
      <c r="E22" s="18" t="s">
        <v>771</v>
      </c>
      <c r="F22" s="13" t="s">
        <v>152</v>
      </c>
      <c r="G22" s="13" t="s">
        <v>243</v>
      </c>
      <c r="H22" s="13" t="s">
        <v>104</v>
      </c>
      <c r="I22" s="19"/>
      <c r="J22" s="20" t="str">
        <f>"70,0"</f>
        <v>70,0</v>
      </c>
      <c r="K22" s="21" t="str">
        <f>"47,0062"</f>
        <v>47,0062</v>
      </c>
      <c r="L22" s="18"/>
    </row>
    <row r="23" spans="1:17" x14ac:dyDescent="0.2">
      <c r="B23" s="4" t="s">
        <v>753</v>
      </c>
    </row>
    <row r="24" spans="1:17" x14ac:dyDescent="0.2">
      <c r="A24" s="29" t="s">
        <v>99</v>
      </c>
      <c r="B24" s="4" t="s">
        <v>753</v>
      </c>
      <c r="C24" s="32"/>
      <c r="D24" s="32"/>
      <c r="E24" s="32"/>
      <c r="F24" s="32"/>
      <c r="G24" s="32"/>
      <c r="H24" s="32"/>
      <c r="I24" s="32"/>
    </row>
    <row r="25" spans="1:17" x14ac:dyDescent="0.2">
      <c r="A25" s="4" t="s">
        <v>732</v>
      </c>
      <c r="B25" s="4" t="s">
        <v>753</v>
      </c>
      <c r="C25" s="5" t="s">
        <v>733</v>
      </c>
      <c r="D25" s="5" t="s">
        <v>734</v>
      </c>
      <c r="E25" s="4" t="s">
        <v>786</v>
      </c>
      <c r="F25" s="5" t="s">
        <v>47</v>
      </c>
      <c r="G25" s="5" t="s">
        <v>48</v>
      </c>
      <c r="H25" s="6" t="s">
        <v>104</v>
      </c>
      <c r="I25" s="6"/>
      <c r="J25" s="9" t="str">
        <f>"65,0"</f>
        <v>65,0</v>
      </c>
      <c r="K25" s="10" t="str">
        <f>"40,8590"</f>
        <v>40,8590</v>
      </c>
      <c r="L25" s="4"/>
    </row>
    <row r="26" spans="1:17" x14ac:dyDescent="0.2">
      <c r="A26" s="35"/>
      <c r="B26" s="4" t="s">
        <v>753</v>
      </c>
      <c r="C26" s="35"/>
      <c r="D26" s="35"/>
      <c r="E26" s="35"/>
      <c r="F26" s="35"/>
      <c r="G26" s="35"/>
      <c r="H26" s="35"/>
      <c r="I26" s="35"/>
      <c r="J26" s="36"/>
      <c r="K26" s="36"/>
      <c r="L26" s="35"/>
      <c r="M26" s="37"/>
      <c r="N26" s="37"/>
      <c r="O26" s="37"/>
      <c r="P26" s="37"/>
      <c r="Q26" s="37"/>
    </row>
    <row r="27" spans="1:17" x14ac:dyDescent="0.2">
      <c r="A27" s="29" t="s">
        <v>4</v>
      </c>
      <c r="B27" s="4" t="s">
        <v>753</v>
      </c>
      <c r="C27" s="32"/>
      <c r="D27" s="32"/>
      <c r="E27" s="32"/>
      <c r="F27" s="32"/>
      <c r="G27" s="32"/>
      <c r="H27" s="32"/>
      <c r="I27" s="32"/>
    </row>
    <row r="28" spans="1:17" x14ac:dyDescent="0.2">
      <c r="A28" s="4" t="s">
        <v>531</v>
      </c>
      <c r="B28" s="4" t="s">
        <v>753</v>
      </c>
      <c r="C28" s="5" t="s">
        <v>532</v>
      </c>
      <c r="D28" s="5" t="s">
        <v>533</v>
      </c>
      <c r="E28" s="4" t="s">
        <v>754</v>
      </c>
      <c r="F28" s="5" t="s">
        <v>165</v>
      </c>
      <c r="G28" s="5" t="s">
        <v>46</v>
      </c>
      <c r="H28" s="6" t="s">
        <v>47</v>
      </c>
      <c r="I28" s="6"/>
      <c r="J28" s="9" t="str">
        <f>"55,0"</f>
        <v>55,0</v>
      </c>
      <c r="K28" s="10" t="str">
        <f>"32,0402"</f>
        <v>32,0402</v>
      </c>
      <c r="L28" s="4"/>
    </row>
    <row r="29" spans="1:17" x14ac:dyDescent="0.2">
      <c r="B29" s="4" t="s">
        <v>753</v>
      </c>
    </row>
    <row r="30" spans="1:17" x14ac:dyDescent="0.2">
      <c r="A30" s="33" t="s">
        <v>70</v>
      </c>
      <c r="B30" s="4" t="s">
        <v>753</v>
      </c>
      <c r="C30" s="34"/>
      <c r="D30" s="34"/>
      <c r="E30" s="34"/>
      <c r="F30" s="34"/>
      <c r="G30" s="34"/>
      <c r="H30" s="34"/>
      <c r="I30" s="34"/>
      <c r="J30" s="36"/>
      <c r="K30" s="36"/>
      <c r="L30" s="35"/>
      <c r="M30" s="37"/>
      <c r="N30" s="37"/>
      <c r="O30" s="37"/>
      <c r="P30" s="37"/>
      <c r="Q30" s="37"/>
    </row>
    <row r="31" spans="1:17" x14ac:dyDescent="0.2">
      <c r="A31" s="4" t="s">
        <v>735</v>
      </c>
      <c r="B31" s="4" t="s">
        <v>753</v>
      </c>
      <c r="C31" s="5" t="s">
        <v>575</v>
      </c>
      <c r="D31" s="5" t="s">
        <v>576</v>
      </c>
      <c r="E31" s="4" t="s">
        <v>754</v>
      </c>
      <c r="F31" s="5" t="s">
        <v>49</v>
      </c>
      <c r="G31" s="6" t="s">
        <v>458</v>
      </c>
      <c r="H31" s="6" t="s">
        <v>458</v>
      </c>
      <c r="I31" s="6"/>
      <c r="J31" s="9" t="str">
        <f>"75,0"</f>
        <v>75,0</v>
      </c>
      <c r="K31" s="10" t="str">
        <f>"42,2325"</f>
        <v>42,2325</v>
      </c>
      <c r="L31" s="4"/>
    </row>
    <row r="32" spans="1:17" x14ac:dyDescent="0.2">
      <c r="B32" s="4" t="s">
        <v>753</v>
      </c>
    </row>
    <row r="33" spans="1:17" x14ac:dyDescent="0.2">
      <c r="A33" s="29" t="s">
        <v>26</v>
      </c>
      <c r="B33" s="4" t="s">
        <v>753</v>
      </c>
      <c r="C33" s="32"/>
      <c r="D33" s="32"/>
      <c r="E33" s="32"/>
      <c r="F33" s="32"/>
      <c r="G33" s="32"/>
      <c r="H33" s="32"/>
      <c r="I33" s="32"/>
    </row>
    <row r="34" spans="1:17" x14ac:dyDescent="0.2">
      <c r="A34" s="4" t="s">
        <v>737</v>
      </c>
      <c r="B34" s="4" t="s">
        <v>753</v>
      </c>
      <c r="C34" s="5" t="s">
        <v>738</v>
      </c>
      <c r="D34" s="5" t="s">
        <v>739</v>
      </c>
      <c r="E34" s="4" t="s">
        <v>754</v>
      </c>
      <c r="F34" s="6" t="s">
        <v>47</v>
      </c>
      <c r="G34" s="5" t="s">
        <v>47</v>
      </c>
      <c r="H34" s="6" t="s">
        <v>48</v>
      </c>
      <c r="I34" s="6"/>
      <c r="J34" s="9" t="str">
        <f>"60,0"</f>
        <v>60,0</v>
      </c>
      <c r="K34" s="10" t="str">
        <f>"35,2423"</f>
        <v>35,2423</v>
      </c>
      <c r="L34" s="4"/>
    </row>
    <row r="37" spans="1:17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6"/>
      <c r="K37" s="36"/>
      <c r="L37" s="35"/>
      <c r="M37" s="37"/>
      <c r="N37" s="37"/>
      <c r="O37" s="37"/>
      <c r="P37" s="37"/>
      <c r="Q37" s="37"/>
    </row>
    <row r="44" spans="1:17" x14ac:dyDescent="0.2">
      <c r="A44" s="2" t="s">
        <v>9</v>
      </c>
    </row>
    <row r="45" spans="1:17" x14ac:dyDescent="0.2">
      <c r="A45" s="28" t="s">
        <v>10</v>
      </c>
      <c r="B45" s="28"/>
      <c r="C45" s="29"/>
    </row>
    <row r="46" spans="1:17" x14ac:dyDescent="0.2">
      <c r="A46" s="30"/>
      <c r="B46" s="30"/>
      <c r="C46" s="29" t="s">
        <v>11</v>
      </c>
    </row>
    <row r="47" spans="1:17" x14ac:dyDescent="0.2">
      <c r="A47" s="31" t="s">
        <v>0</v>
      </c>
      <c r="B47" s="31"/>
      <c r="C47" s="31" t="s">
        <v>12</v>
      </c>
      <c r="D47" s="31" t="s">
        <v>13</v>
      </c>
    </row>
    <row r="48" spans="1:17" x14ac:dyDescent="0.2">
      <c r="A48" s="11" t="s">
        <v>711</v>
      </c>
      <c r="B48" s="11"/>
      <c r="C48" s="3" t="s">
        <v>11</v>
      </c>
      <c r="D48" s="3" t="s">
        <v>139</v>
      </c>
    </row>
    <row r="50" spans="1:4" x14ac:dyDescent="0.2">
      <c r="A50" s="30"/>
      <c r="B50" s="30"/>
      <c r="C50" s="29" t="s">
        <v>15</v>
      </c>
    </row>
    <row r="51" spans="1:4" x14ac:dyDescent="0.2">
      <c r="A51" s="31" t="s">
        <v>0</v>
      </c>
      <c r="B51" s="31"/>
      <c r="C51" s="31" t="s">
        <v>12</v>
      </c>
      <c r="D51" s="31" t="s">
        <v>13</v>
      </c>
    </row>
    <row r="52" spans="1:4" x14ac:dyDescent="0.2">
      <c r="A52" s="11" t="s">
        <v>420</v>
      </c>
      <c r="B52" s="11"/>
      <c r="C52" s="3" t="s">
        <v>38</v>
      </c>
      <c r="D52" s="3" t="s">
        <v>141</v>
      </c>
    </row>
    <row r="55" spans="1:4" x14ac:dyDescent="0.2">
      <c r="A55" s="28" t="s">
        <v>14</v>
      </c>
      <c r="B55" s="28"/>
      <c r="C55" s="29"/>
    </row>
    <row r="56" spans="1:4" x14ac:dyDescent="0.2">
      <c r="A56" s="30"/>
      <c r="B56" s="30"/>
      <c r="C56" s="29" t="s">
        <v>137</v>
      </c>
    </row>
    <row r="57" spans="1:4" x14ac:dyDescent="0.2">
      <c r="A57" s="31" t="s">
        <v>0</v>
      </c>
      <c r="B57" s="31"/>
      <c r="C57" s="31" t="s">
        <v>12</v>
      </c>
      <c r="D57" s="31" t="s">
        <v>13</v>
      </c>
    </row>
    <row r="58" spans="1:4" x14ac:dyDescent="0.2">
      <c r="A58" s="11" t="s">
        <v>731</v>
      </c>
      <c r="B58" s="11"/>
      <c r="C58" s="3" t="s">
        <v>138</v>
      </c>
      <c r="D58" s="3" t="s">
        <v>136</v>
      </c>
    </row>
    <row r="59" spans="1:4" x14ac:dyDescent="0.2">
      <c r="A59" s="11" t="s">
        <v>530</v>
      </c>
      <c r="B59" s="11"/>
      <c r="C59" s="3" t="s">
        <v>138</v>
      </c>
      <c r="D59" s="3" t="s">
        <v>17</v>
      </c>
    </row>
    <row r="61" spans="1:4" x14ac:dyDescent="0.2">
      <c r="A61" s="30"/>
      <c r="B61" s="30"/>
      <c r="C61" s="29" t="s">
        <v>11</v>
      </c>
    </row>
    <row r="62" spans="1:4" x14ac:dyDescent="0.2">
      <c r="A62" s="31" t="s">
        <v>0</v>
      </c>
      <c r="B62" s="31"/>
      <c r="C62" s="31" t="s">
        <v>12</v>
      </c>
      <c r="D62" s="31" t="s">
        <v>13</v>
      </c>
    </row>
    <row r="63" spans="1:4" x14ac:dyDescent="0.2">
      <c r="A63" s="11" t="s">
        <v>723</v>
      </c>
      <c r="B63" s="11"/>
      <c r="C63" s="3" t="s">
        <v>11</v>
      </c>
      <c r="D63" s="3" t="s">
        <v>141</v>
      </c>
    </row>
    <row r="64" spans="1:4" x14ac:dyDescent="0.2">
      <c r="A64" s="11" t="s">
        <v>489</v>
      </c>
      <c r="B64" s="11"/>
      <c r="C64" s="3" t="s">
        <v>11</v>
      </c>
      <c r="D64" s="3" t="s">
        <v>95</v>
      </c>
    </row>
    <row r="65" spans="1:4" x14ac:dyDescent="0.2">
      <c r="A65" s="11" t="s">
        <v>573</v>
      </c>
      <c r="B65" s="11"/>
      <c r="C65" s="3" t="s">
        <v>11</v>
      </c>
      <c r="D65" s="3" t="s">
        <v>96</v>
      </c>
    </row>
    <row r="66" spans="1:4" x14ac:dyDescent="0.2">
      <c r="A66" s="11" t="s">
        <v>493</v>
      </c>
      <c r="B66" s="11"/>
      <c r="C66" s="3" t="s">
        <v>11</v>
      </c>
      <c r="D66" s="3" t="s">
        <v>95</v>
      </c>
    </row>
    <row r="68" spans="1:4" x14ac:dyDescent="0.2">
      <c r="A68" s="30"/>
      <c r="B68" s="30"/>
      <c r="C68" s="29" t="s">
        <v>15</v>
      </c>
    </row>
    <row r="69" spans="1:4" x14ac:dyDescent="0.2">
      <c r="A69" s="31" t="s">
        <v>0</v>
      </c>
      <c r="B69" s="31"/>
      <c r="C69" s="31" t="s">
        <v>12</v>
      </c>
      <c r="D69" s="31" t="s">
        <v>13</v>
      </c>
    </row>
    <row r="70" spans="1:4" x14ac:dyDescent="0.2">
      <c r="A70" s="11" t="s">
        <v>502</v>
      </c>
      <c r="B70" s="11"/>
      <c r="C70" s="3" t="s">
        <v>97</v>
      </c>
      <c r="D70" s="3" t="s">
        <v>95</v>
      </c>
    </row>
    <row r="71" spans="1:4" x14ac:dyDescent="0.2">
      <c r="A71" s="11" t="s">
        <v>719</v>
      </c>
      <c r="B71" s="11"/>
      <c r="C71" s="3" t="s">
        <v>97</v>
      </c>
      <c r="D71" s="3" t="s">
        <v>222</v>
      </c>
    </row>
    <row r="72" spans="1:4" x14ac:dyDescent="0.2">
      <c r="A72" s="11" t="s">
        <v>725</v>
      </c>
      <c r="B72" s="11"/>
      <c r="C72" s="3" t="s">
        <v>98</v>
      </c>
      <c r="D72" s="3" t="s">
        <v>141</v>
      </c>
    </row>
    <row r="73" spans="1:4" x14ac:dyDescent="0.2">
      <c r="A73" s="11" t="s">
        <v>736</v>
      </c>
      <c r="B73" s="11"/>
      <c r="C73" s="3" t="s">
        <v>98</v>
      </c>
      <c r="D73" s="3" t="s">
        <v>37</v>
      </c>
    </row>
  </sheetData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awpc pl raw</vt:lpstr>
      <vt:lpstr>awpc cl pl</vt:lpstr>
      <vt:lpstr>awpc pl sp</vt:lpstr>
      <vt:lpstr>awpc bp raw</vt:lpstr>
      <vt:lpstr>awpc bp sp</vt:lpstr>
      <vt:lpstr>awpc bp soft std</vt:lpstr>
      <vt:lpstr>awpc dl raw</vt:lpstr>
      <vt:lpstr>awpc dl sp</vt:lpstr>
      <vt:lpstr>awpc sc</vt:lpstr>
      <vt:lpstr>WPC cl pl</vt:lpstr>
      <vt:lpstr>WPC pl sp</vt:lpstr>
      <vt:lpstr>WPC bp raw</vt:lpstr>
      <vt:lpstr>WPC bp sp</vt:lpstr>
      <vt:lpstr>WPC bp soft std</vt:lpstr>
      <vt:lpstr>WPC dl raw</vt:lpstr>
      <vt:lpstr>WPC dl sp</vt:lpstr>
      <vt:lpstr>WPC SC</vt:lpstr>
      <vt:lpstr>WPC OB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Pete Kravtsov</cp:lastModifiedBy>
  <cp:lastPrinted>2008-02-22T21:19:54Z</cp:lastPrinted>
  <dcterms:created xsi:type="dcterms:W3CDTF">2002-06-16T13:36:44Z</dcterms:created>
  <dcterms:modified xsi:type="dcterms:W3CDTF">2021-12-21T16:14:40Z</dcterms:modified>
</cp:coreProperties>
</file>