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Июль/"/>
    </mc:Choice>
  </mc:AlternateContent>
  <xr:revisionPtr revIDLastSave="0" documentId="13_ncr:1_{E7197BE3-6CBC-3B4C-879C-0E3EECB2D191}" xr6:coauthVersionLast="45" xr6:coauthVersionMax="45" xr10:uidLastSave="{00000000-0000-0000-0000-000000000000}"/>
  <bookViews>
    <workbookView xWindow="0" yWindow="460" windowWidth="28800" windowHeight="16060" activeTab="3" xr2:uid="{00000000-000D-0000-FFFF-FFFF00000000}"/>
  </bookViews>
  <sheets>
    <sheet name="WRPF Жим лежа без экип ДК" sheetId="6" r:id="rId1"/>
    <sheet name="WRPF Жим лежа без экип" sheetId="5" r:id="rId2"/>
    <sheet name="WRPF Тяга без экипировки ДК" sheetId="8" r:id="rId3"/>
    <sheet name="WRPF Тяга без экипировки" sheetId="7" r:id="rId4"/>
    <sheet name="Судейская коллегия" sheetId="9" r:id="rId5"/>
  </sheets>
  <definedNames>
    <definedName name="_FilterDatabase" localSheetId="1" hidden="1">'WRPF Жим лежа без экип'!$A$1:$L$3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8" l="1"/>
  <c r="L43" i="8"/>
  <c r="E43" i="8"/>
  <c r="M42" i="8"/>
  <c r="L42" i="8"/>
  <c r="E42" i="8"/>
  <c r="M41" i="8"/>
  <c r="L41" i="8"/>
  <c r="E41" i="8"/>
  <c r="M38" i="8"/>
  <c r="L38" i="8"/>
  <c r="E38" i="8"/>
  <c r="M37" i="8"/>
  <c r="L37" i="8"/>
  <c r="E37" i="8"/>
  <c r="M34" i="8"/>
  <c r="L34" i="8"/>
  <c r="E34" i="8"/>
  <c r="M33" i="8"/>
  <c r="L33" i="8"/>
  <c r="E33" i="8"/>
  <c r="M32" i="8"/>
  <c r="L32" i="8"/>
  <c r="E32" i="8"/>
  <c r="M31" i="8"/>
  <c r="L31" i="8"/>
  <c r="E31" i="8"/>
  <c r="M30" i="8"/>
  <c r="L30" i="8"/>
  <c r="E30" i="8"/>
  <c r="M27" i="8"/>
  <c r="L27" i="8"/>
  <c r="E27" i="8"/>
  <c r="M26" i="8"/>
  <c r="L26" i="8"/>
  <c r="E26" i="8"/>
  <c r="M23" i="8"/>
  <c r="L23" i="8"/>
  <c r="E23" i="8"/>
  <c r="E22" i="8"/>
  <c r="M21" i="8"/>
  <c r="L21" i="8"/>
  <c r="E21" i="8"/>
  <c r="M18" i="8"/>
  <c r="L18" i="8"/>
  <c r="E18" i="8"/>
  <c r="M15" i="8"/>
  <c r="L15" i="8"/>
  <c r="E15" i="8"/>
  <c r="M12" i="8"/>
  <c r="L12" i="8"/>
  <c r="E12" i="8"/>
  <c r="M11" i="8"/>
  <c r="L11" i="8"/>
  <c r="E11" i="8"/>
  <c r="M10" i="8"/>
  <c r="L10" i="8"/>
  <c r="E10" i="8"/>
  <c r="M7" i="8"/>
  <c r="L7" i="8"/>
  <c r="E7" i="8"/>
  <c r="M6" i="8"/>
  <c r="L6" i="8"/>
  <c r="E6" i="8"/>
  <c r="M37" i="7"/>
  <c r="L37" i="7"/>
  <c r="E37" i="7"/>
  <c r="M36" i="7"/>
  <c r="L36" i="7"/>
  <c r="E36" i="7"/>
  <c r="M33" i="7"/>
  <c r="L33" i="7"/>
  <c r="E33" i="7"/>
  <c r="M32" i="7"/>
  <c r="L32" i="7"/>
  <c r="E32" i="7"/>
  <c r="M31" i="7"/>
  <c r="L31" i="7"/>
  <c r="E31" i="7"/>
  <c r="E28" i="7"/>
  <c r="M27" i="7"/>
  <c r="L27" i="7"/>
  <c r="E27" i="7"/>
  <c r="M24" i="7"/>
  <c r="L24" i="7"/>
  <c r="E24" i="7"/>
  <c r="M21" i="7"/>
  <c r="L21" i="7"/>
  <c r="E21" i="7"/>
  <c r="M20" i="7"/>
  <c r="L20" i="7"/>
  <c r="E20" i="7"/>
  <c r="M19" i="7"/>
  <c r="L19" i="7"/>
  <c r="E19" i="7"/>
  <c r="M16" i="7"/>
  <c r="L16" i="7"/>
  <c r="E16" i="7"/>
  <c r="M15" i="7"/>
  <c r="L15" i="7"/>
  <c r="E15" i="7"/>
  <c r="M12" i="7"/>
  <c r="L12" i="7"/>
  <c r="E12" i="7"/>
  <c r="M9" i="7"/>
  <c r="L9" i="7"/>
  <c r="E9" i="7"/>
  <c r="M6" i="7"/>
  <c r="L6" i="7"/>
  <c r="E6" i="7"/>
  <c r="M23" i="6"/>
  <c r="L23" i="6"/>
  <c r="E23" i="6"/>
  <c r="M22" i="6"/>
  <c r="L22" i="6"/>
  <c r="E22" i="6"/>
  <c r="M21" i="6"/>
  <c r="L21" i="6"/>
  <c r="E21" i="6"/>
  <c r="M18" i="6"/>
  <c r="L18" i="6"/>
  <c r="E18" i="6"/>
  <c r="M15" i="6"/>
  <c r="L15" i="6"/>
  <c r="E15" i="6"/>
  <c r="M12" i="6"/>
  <c r="L12" i="6"/>
  <c r="E12" i="6"/>
  <c r="M9" i="6"/>
  <c r="L9" i="6"/>
  <c r="E9" i="6"/>
  <c r="E6" i="6"/>
  <c r="M33" i="5"/>
  <c r="L33" i="5"/>
  <c r="E33" i="5"/>
  <c r="M32" i="5"/>
  <c r="L32" i="5"/>
  <c r="E32" i="5"/>
  <c r="M31" i="5"/>
  <c r="L31" i="5"/>
  <c r="E31" i="5"/>
  <c r="M28" i="5"/>
  <c r="L28" i="5"/>
  <c r="E28" i="5"/>
  <c r="M27" i="5"/>
  <c r="L27" i="5"/>
  <c r="E27" i="5"/>
  <c r="M26" i="5"/>
  <c r="L26" i="5"/>
  <c r="E26" i="5"/>
  <c r="M23" i="5"/>
  <c r="L23" i="5"/>
  <c r="E23" i="5"/>
  <c r="M20" i="5"/>
  <c r="L20" i="5"/>
  <c r="E20" i="5"/>
  <c r="M19" i="5"/>
  <c r="L19" i="5"/>
  <c r="E19" i="5"/>
  <c r="M16" i="5"/>
  <c r="L16" i="5"/>
  <c r="E16" i="5"/>
  <c r="M15" i="5"/>
  <c r="L15" i="5"/>
  <c r="E15" i="5"/>
  <c r="M12" i="5"/>
  <c r="L12" i="5"/>
  <c r="E12" i="5"/>
  <c r="M9" i="5"/>
  <c r="L9" i="5"/>
  <c r="E9" i="5"/>
  <c r="M6" i="5"/>
  <c r="L6" i="5"/>
  <c r="E6" i="5"/>
</calcChain>
</file>

<file path=xl/sharedStrings.xml><?xml version="1.0" encoding="utf-8"?>
<sst xmlns="http://schemas.openxmlformats.org/spreadsheetml/2006/main" count="731" uniqueCount="294">
  <si>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</si>
  <si>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</si>
  <si>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</si>
  <si>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</si>
  <si>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</si>
  <si>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</si>
  <si>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</si>
  <si>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</si>
  <si>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Wilks</t>
  </si>
  <si>
    <t>Жим лёжа</t>
  </si>
  <si>
    <t>ВЕСОВАЯ КАТЕГОРИЯ   52</t>
  </si>
  <si>
    <t>Багов Алим</t>
  </si>
  <si>
    <t>Юноши 14-16 (28.03.2005)/15</t>
  </si>
  <si>
    <t>49,60</t>
  </si>
  <si>
    <t xml:space="preserve">Лично </t>
  </si>
  <si>
    <t>50,0</t>
  </si>
  <si>
    <t>55,0</t>
  </si>
  <si>
    <t>60,0</t>
  </si>
  <si>
    <t xml:space="preserve">Самостоятельно </t>
  </si>
  <si>
    <t>ВЕСОВАЯ КАТЕГОРИЯ   56</t>
  </si>
  <si>
    <t>Камергоев Кантемир</t>
  </si>
  <si>
    <t>Юноши 14-16 (01.12.2004)/15</t>
  </si>
  <si>
    <t>55,70</t>
  </si>
  <si>
    <t>67,5</t>
  </si>
  <si>
    <t>ВЕСОВАЯ КАТЕГОРИЯ   67.5</t>
  </si>
  <si>
    <t>Демин Данил</t>
  </si>
  <si>
    <t>Юноши 14-16 (29.08.2004)/15</t>
  </si>
  <si>
    <t>60,90</t>
  </si>
  <si>
    <t>95,0</t>
  </si>
  <si>
    <t>100,0</t>
  </si>
  <si>
    <t xml:space="preserve">Тхамитлоков К. </t>
  </si>
  <si>
    <t>ВЕСОВАЯ КАТЕГОРИЯ   75</t>
  </si>
  <si>
    <t>Артюхов Владислав</t>
  </si>
  <si>
    <t>Юноши 14-16 (11.08.2003)/16</t>
  </si>
  <si>
    <t>69,30</t>
  </si>
  <si>
    <t>70,0</t>
  </si>
  <si>
    <t>80,0</t>
  </si>
  <si>
    <t>82,5</t>
  </si>
  <si>
    <t>Меркулов Максим</t>
  </si>
  <si>
    <t>Открытая (07.07.1995)/25</t>
  </si>
  <si>
    <t>72,00</t>
  </si>
  <si>
    <t xml:space="preserve">Георгиевск/Ставропольский край </t>
  </si>
  <si>
    <t>130,0</t>
  </si>
  <si>
    <t>137,5</t>
  </si>
  <si>
    <t>140,0</t>
  </si>
  <si>
    <t>ВЕСОВАЯ КАТЕГОРИЯ   82.5</t>
  </si>
  <si>
    <t>Горбачев Михаил</t>
  </si>
  <si>
    <t>Юноши 14-16 (14.07.2005)/14</t>
  </si>
  <si>
    <t>78,90</t>
  </si>
  <si>
    <t xml:space="preserve">Минеральные Воды/Ставропольский край </t>
  </si>
  <si>
    <t>90,0</t>
  </si>
  <si>
    <t xml:space="preserve">Айвазов А. </t>
  </si>
  <si>
    <t>Чечель Данил</t>
  </si>
  <si>
    <t>Юноши 17-19 (07.05.2003)/17</t>
  </si>
  <si>
    <t>79,10</t>
  </si>
  <si>
    <t>77,5</t>
  </si>
  <si>
    <t>ВЕСОВАЯ КАТЕГОРИЯ   90</t>
  </si>
  <si>
    <t>Сапожонков Андрей</t>
  </si>
  <si>
    <t>Открытая (26.06.1987)/33</t>
  </si>
  <si>
    <t>89,70</t>
  </si>
  <si>
    <t xml:space="preserve">Талдом/Московская область </t>
  </si>
  <si>
    <t>265,0</t>
  </si>
  <si>
    <t>277,5</t>
  </si>
  <si>
    <t>ВЕСОВАЯ КАТЕГОРИЯ   110</t>
  </si>
  <si>
    <t>Шомахов Альберт</t>
  </si>
  <si>
    <t>Открытая (08.06.1968)/52</t>
  </si>
  <si>
    <t>105,40</t>
  </si>
  <si>
    <t>180,0</t>
  </si>
  <si>
    <t>190,0</t>
  </si>
  <si>
    <t>195,0</t>
  </si>
  <si>
    <t>Начоев Аскер</t>
  </si>
  <si>
    <t>Открытая (18.03.1982)/38</t>
  </si>
  <si>
    <t>109,10</t>
  </si>
  <si>
    <t>170,0</t>
  </si>
  <si>
    <t>192,5</t>
  </si>
  <si>
    <t>Хандохов Аслан</t>
  </si>
  <si>
    <t>Открытая (11.08.1986)/33</t>
  </si>
  <si>
    <t>102,20</t>
  </si>
  <si>
    <t>120,0</t>
  </si>
  <si>
    <t>Дыгов Алим</t>
  </si>
  <si>
    <t>Открытая (16.04.1985)/35</t>
  </si>
  <si>
    <t xml:space="preserve">Хашпаков М. </t>
  </si>
  <si>
    <t>ВЕСОВАЯ КАТЕГОРИЯ   125</t>
  </si>
  <si>
    <t>Дьяконов Дмитрий</t>
  </si>
  <si>
    <t>Открытая (07.07.1988)/32</t>
  </si>
  <si>
    <t>116,30</t>
  </si>
  <si>
    <t xml:space="preserve">Астрахань/Астраханская область </t>
  </si>
  <si>
    <t>260,0</t>
  </si>
  <si>
    <t>270,0</t>
  </si>
  <si>
    <t>275,0</t>
  </si>
  <si>
    <t>280,0</t>
  </si>
  <si>
    <t>Галстян Самвел</t>
  </si>
  <si>
    <t>Открытая (05.12.1987)/32</t>
  </si>
  <si>
    <t>123,20</t>
  </si>
  <si>
    <t>175,0</t>
  </si>
  <si>
    <t>182,5</t>
  </si>
  <si>
    <t>Леденёв Сергей</t>
  </si>
  <si>
    <t>Открытая (19.10.1988)/31</t>
  </si>
  <si>
    <t>115,60</t>
  </si>
  <si>
    <t>Результат</t>
  </si>
  <si>
    <t>1</t>
  </si>
  <si>
    <t/>
  </si>
  <si>
    <t>2</t>
  </si>
  <si>
    <t>3</t>
  </si>
  <si>
    <t>-</t>
  </si>
  <si>
    <t>Место</t>
  </si>
  <si>
    <t>Канкулов Мурат</t>
  </si>
  <si>
    <t>Юноши 17-19 (07.01.2002)/18</t>
  </si>
  <si>
    <t>55,00</t>
  </si>
  <si>
    <t>Гурков Леонид</t>
  </si>
  <si>
    <t>Юноши 14-16 (05.05.2004)/16</t>
  </si>
  <si>
    <t>66,40</t>
  </si>
  <si>
    <t xml:space="preserve">Ростов-на-Дону/Ростовская область </t>
  </si>
  <si>
    <t>65,0</t>
  </si>
  <si>
    <t>72,5</t>
  </si>
  <si>
    <t xml:space="preserve">Губжев Б. </t>
  </si>
  <si>
    <t>Темиев Владислав</t>
  </si>
  <si>
    <t>Юноши 14-16 (10.09.2004)/15</t>
  </si>
  <si>
    <t>72,10</t>
  </si>
  <si>
    <t>85,0</t>
  </si>
  <si>
    <t>97,5</t>
  </si>
  <si>
    <t>Березгов Ибрагим</t>
  </si>
  <si>
    <t>Юноши 17-19 (13.04.2001)/19</t>
  </si>
  <si>
    <t>88,10</t>
  </si>
  <si>
    <t>135,0</t>
  </si>
  <si>
    <t>145,0</t>
  </si>
  <si>
    <t>150,0</t>
  </si>
  <si>
    <t>ВЕСОВАЯ КАТЕГОРИЯ   100</t>
  </si>
  <si>
    <t>Думанов Руслан</t>
  </si>
  <si>
    <t>Открытая (10.06.1995)/25</t>
  </si>
  <si>
    <t>97,00</t>
  </si>
  <si>
    <t>162,5</t>
  </si>
  <si>
    <t>Баша Нур</t>
  </si>
  <si>
    <t>Открытая (01.06.1995)/25</t>
  </si>
  <si>
    <t>107,30</t>
  </si>
  <si>
    <t>167,5</t>
  </si>
  <si>
    <t xml:space="preserve">Касимов Ф. </t>
  </si>
  <si>
    <t>155,0</t>
  </si>
  <si>
    <t>Костенко Роман</t>
  </si>
  <si>
    <t>Мастера 40-49 (10.01.1975)/45</t>
  </si>
  <si>
    <t>108,80</t>
  </si>
  <si>
    <t xml:space="preserve">Железноводск/Ставропольский край </t>
  </si>
  <si>
    <t>147,5</t>
  </si>
  <si>
    <t>Становая тяга</t>
  </si>
  <si>
    <t>Кочесокова Алина</t>
  </si>
  <si>
    <t>Открытая (22.09.1987)/32</t>
  </si>
  <si>
    <t>63,00</t>
  </si>
  <si>
    <t>107,5</t>
  </si>
  <si>
    <t>112,5</t>
  </si>
  <si>
    <t>110,0</t>
  </si>
  <si>
    <t>ВЕСОВАЯ КАТЕГОРИЯ   60</t>
  </si>
  <si>
    <t>Бегидов Темирлан</t>
  </si>
  <si>
    <t>Юниоры (07.07.2000)/20</t>
  </si>
  <si>
    <t>60,00</t>
  </si>
  <si>
    <t xml:space="preserve">Тубаев И. </t>
  </si>
  <si>
    <t>200,0</t>
  </si>
  <si>
    <t>210,0</t>
  </si>
  <si>
    <t>Бычков Илья</t>
  </si>
  <si>
    <t>Юноши 14-16 (03.08.2004)/15</t>
  </si>
  <si>
    <t>79,00</t>
  </si>
  <si>
    <t>152,5</t>
  </si>
  <si>
    <t>165,0</t>
  </si>
  <si>
    <t>175,5</t>
  </si>
  <si>
    <t>Ступников Роман</t>
  </si>
  <si>
    <t>Открытая (21.01.1988)/32</t>
  </si>
  <si>
    <t>87,90</t>
  </si>
  <si>
    <t xml:space="preserve">Ставрополь/Ставропольский край </t>
  </si>
  <si>
    <t>320,0</t>
  </si>
  <si>
    <t>330,0</t>
  </si>
  <si>
    <t>Миронов Константин</t>
  </si>
  <si>
    <t>Открытая (28.02.1988)/32</t>
  </si>
  <si>
    <t>99,40</t>
  </si>
  <si>
    <t>325,0</t>
  </si>
  <si>
    <t>345,0</t>
  </si>
  <si>
    <t>350,0</t>
  </si>
  <si>
    <t>Деров Станислав</t>
  </si>
  <si>
    <t>Открытая (22.11.1996)/23</t>
  </si>
  <si>
    <t>97,70</t>
  </si>
  <si>
    <t>240,0</t>
  </si>
  <si>
    <t>250,0</t>
  </si>
  <si>
    <t xml:space="preserve">Настуев Ю. </t>
  </si>
  <si>
    <t>Фам Владислав</t>
  </si>
  <si>
    <t>Юниоры (02.12.1999)/20</t>
  </si>
  <si>
    <t>104,10</t>
  </si>
  <si>
    <t>285,0</t>
  </si>
  <si>
    <t>Иригов Аскер</t>
  </si>
  <si>
    <t>Открытая (07.06.1989)/31</t>
  </si>
  <si>
    <t>335,0</t>
  </si>
  <si>
    <t>347,5</t>
  </si>
  <si>
    <t>352,5</t>
  </si>
  <si>
    <t xml:space="preserve">Карданов А. </t>
  </si>
  <si>
    <t>Касимов Феликс</t>
  </si>
  <si>
    <t>Открытая (29.03.1993)/27</t>
  </si>
  <si>
    <t>104,40</t>
  </si>
  <si>
    <t>302,5</t>
  </si>
  <si>
    <t>272,5</t>
  </si>
  <si>
    <t>Хакяшев Муртаз</t>
  </si>
  <si>
    <t>Открытая (06.12.1977)/42</t>
  </si>
  <si>
    <t>115,20</t>
  </si>
  <si>
    <t>230,0</t>
  </si>
  <si>
    <t>245,0</t>
  </si>
  <si>
    <t>Малухова Алина</t>
  </si>
  <si>
    <t>Девушки 14-16 (04.06.2005)/15</t>
  </si>
  <si>
    <t>64,90</t>
  </si>
  <si>
    <t>Романовская Юлия</t>
  </si>
  <si>
    <t>Открытая (24.10.1986)/33</t>
  </si>
  <si>
    <t>66,50</t>
  </si>
  <si>
    <t xml:space="preserve">Лермонтов/Ставропольский край </t>
  </si>
  <si>
    <t>Пагов Кантемир</t>
  </si>
  <si>
    <t>Юноши 14-16 (15.05.2005)/15</t>
  </si>
  <si>
    <t>51,80</t>
  </si>
  <si>
    <t>Зобов Денис</t>
  </si>
  <si>
    <t>Юноши 14-16 (25.10.2007)/12</t>
  </si>
  <si>
    <t>49,00</t>
  </si>
  <si>
    <t>75,0</t>
  </si>
  <si>
    <t>Сижажев Алан</t>
  </si>
  <si>
    <t>Юноши 14-16 (06.06.2012)/8</t>
  </si>
  <si>
    <t>43,90</t>
  </si>
  <si>
    <t>45,0</t>
  </si>
  <si>
    <t>Жабелов Артур</t>
  </si>
  <si>
    <t>Юноши 14-16 (09.10.2005)/14</t>
  </si>
  <si>
    <t>55,80</t>
  </si>
  <si>
    <t>Бориев Амир</t>
  </si>
  <si>
    <t>Открытая (04.07.1992)/28</t>
  </si>
  <si>
    <t>65,70</t>
  </si>
  <si>
    <t>Канкулов Данила</t>
  </si>
  <si>
    <t>Юноши 17-19 (02.06.2002)/18</t>
  </si>
  <si>
    <t>72,50</t>
  </si>
  <si>
    <t>Алиев Ахмед</t>
  </si>
  <si>
    <t>Открытая (10.07.1990)/30</t>
  </si>
  <si>
    <t>73,90</t>
  </si>
  <si>
    <t>207,5</t>
  </si>
  <si>
    <t>212,5</t>
  </si>
  <si>
    <t>Безиров Мурат</t>
  </si>
  <si>
    <t>Открытая (12.08.1993)/26</t>
  </si>
  <si>
    <t>81,40</t>
  </si>
  <si>
    <t>220,0</t>
  </si>
  <si>
    <t>Тлигуров Мурат</t>
  </si>
  <si>
    <t>Открытая (25.08.1993)/26</t>
  </si>
  <si>
    <t>81,80</t>
  </si>
  <si>
    <t>205,0</t>
  </si>
  <si>
    <t>222,5</t>
  </si>
  <si>
    <t>215,0</t>
  </si>
  <si>
    <t>Куруглиев Арсен</t>
  </si>
  <si>
    <t>Юниоры (07.10.1996)/23</t>
  </si>
  <si>
    <t>235,0</t>
  </si>
  <si>
    <t xml:space="preserve">Ингушев Ч. </t>
  </si>
  <si>
    <t>Карданов Тембулат</t>
  </si>
  <si>
    <t>Юниоры (15.10.1997)/22</t>
  </si>
  <si>
    <t>88,80</t>
  </si>
  <si>
    <t>202,5</t>
  </si>
  <si>
    <t>Улигов Сосруко</t>
  </si>
  <si>
    <t>Открытая (22.04.1983)/37</t>
  </si>
  <si>
    <t>89,20</t>
  </si>
  <si>
    <t>Шагиров Аскер</t>
  </si>
  <si>
    <t>Открытая (24.06.1989)/31</t>
  </si>
  <si>
    <t>85,00</t>
  </si>
  <si>
    <t xml:space="preserve">Кожаев Э. </t>
  </si>
  <si>
    <t>Карданов Азрет</t>
  </si>
  <si>
    <t>Открытая (22.01.1991)/29</t>
  </si>
  <si>
    <t>93,60</t>
  </si>
  <si>
    <t>255,0</t>
  </si>
  <si>
    <t>Шогенов Руслан</t>
  </si>
  <si>
    <t>Открытая (19.12.1992)/27</t>
  </si>
  <si>
    <t>98,10</t>
  </si>
  <si>
    <t xml:space="preserve">Деров С. </t>
  </si>
  <si>
    <t>Шатов Егор</t>
  </si>
  <si>
    <t>Юноши 17-19 (03.04.2002)/18</t>
  </si>
  <si>
    <t>109,90</t>
  </si>
  <si>
    <t>Пагов Азамат</t>
  </si>
  <si>
    <t>Открытая (10.08.1991)/28</t>
  </si>
  <si>
    <t>106,40</t>
  </si>
  <si>
    <t>232,5</t>
  </si>
  <si>
    <t>242,5</t>
  </si>
  <si>
    <t>DQ</t>
  </si>
  <si>
    <t xml:space="preserve">Баксан/Республика Кабардино-Балкария </t>
  </si>
  <si>
    <t xml:space="preserve">Нальчик/Республика Кабардино-Балкария </t>
  </si>
  <si>
    <t>Открытый мастерский турнир "Ночь железа"
WRPF любители Жим лежа без экипировки ДК
Баксан/Республика Кабардино-Балкария, 11 июля 2020 года</t>
  </si>
  <si>
    <t>Открытый мастерский турнир "Ночь железа"
WRPF любители Жим лежа без экипировки
Баксан/Республика Кабардино-Балкария, 11 июля 2020 года</t>
  </si>
  <si>
    <t>Открытый мастерский турнир "Ночь железа"
WRPF любители Становая тяга без экипировки ДК
Баксан/Республика Кабардино-Балкария, 11 июля 2020 года</t>
  </si>
  <si>
    <t>Открытый мастерский турнир "Ночь железа"
WRPF любители Становая тяга без экипировки
Баксан/Республика Кабардино-Балкария, 11 июля 2020 года</t>
  </si>
  <si>
    <t>Баксан/Республика Кабардино-Балкария</t>
  </si>
  <si>
    <t xml:space="preserve">Терек/Республика Кабардино-Балкария </t>
  </si>
  <si>
    <t xml:space="preserve">Каспийск/Республика Дагестан </t>
  </si>
  <si>
    <t>Судейская коллегия Открытого мастерского турнира "Ночь железа"</t>
  </si>
  <si>
    <t>Главный судья соревнований:</t>
  </si>
  <si>
    <t>Главный секретарь соревнований:</t>
  </si>
  <si>
    <t>Секретарь:</t>
  </si>
  <si>
    <t>Судьи:</t>
  </si>
  <si>
    <t>Новиков Степан/ МК, Вологда</t>
  </si>
  <si>
    <t>Гучапшев Беслан/ Баксан</t>
  </si>
  <si>
    <t>Ступников Роман/ НК, Ставрополь</t>
  </si>
  <si>
    <t>Киляров Инал/ Баксан</t>
  </si>
  <si>
    <t>Гукетлов Марат/ Баксан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</si>
</sst>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z val="10"/>
      <color rgb="FFFF0000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2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/>
    </xf>
    <xf numFmtId="164" fontId="1" fillId="0" borderId="20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center"/>
    </xf>
    <xf numFmtId="165" fontId="1" fillId="0" borderId="19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workbookViewId="0">
      <selection sqref="A1:N2"/>
    </sheetView>
  </sheetViews>
  <sheetFormatPr baseColWidth="10" defaultColWidth="9.1640625" defaultRowHeight="13"/>
  <cols>
    <col min="1" max="1" width="7.5" style="33" bestFit="1" customWidth="1"/>
    <col min="2" max="2" width="17.5" style="8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8.5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46" t="s">
        <v>277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53" t="s">
        <v>105</v>
      </c>
      <c r="B3" s="60" t="s">
        <v>0</v>
      </c>
      <c r="C3" s="55" t="s">
        <v>5</v>
      </c>
      <c r="D3" s="55" t="s">
        <v>7</v>
      </c>
      <c r="E3" s="57" t="s">
        <v>8</v>
      </c>
      <c r="F3" s="57" t="s">
        <v>3</v>
      </c>
      <c r="G3" s="58" t="s">
        <v>6</v>
      </c>
      <c r="H3" s="57" t="s">
        <v>9</v>
      </c>
      <c r="I3" s="57"/>
      <c r="J3" s="57"/>
      <c r="K3" s="57"/>
      <c r="L3" s="62" t="s">
        <v>99</v>
      </c>
      <c r="M3" s="57" t="s">
        <v>2</v>
      </c>
      <c r="N3" s="64" t="s">
        <v>1</v>
      </c>
    </row>
    <row r="4" spans="1:14" s="1" customFormat="1" ht="21" customHeight="1" thickBot="1">
      <c r="A4" s="54"/>
      <c r="B4" s="61"/>
      <c r="C4" s="56"/>
      <c r="D4" s="56"/>
      <c r="E4" s="56"/>
      <c r="F4" s="56"/>
      <c r="G4" s="59"/>
      <c r="H4" s="26">
        <v>1</v>
      </c>
      <c r="I4" s="26">
        <v>2</v>
      </c>
      <c r="J4" s="26">
        <v>3</v>
      </c>
      <c r="K4" s="26" t="s">
        <v>4</v>
      </c>
      <c r="L4" s="63"/>
      <c r="M4" s="56"/>
      <c r="N4" s="65"/>
    </row>
    <row r="5" spans="1:14" ht="16">
      <c r="A5" s="44" t="s">
        <v>19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4">
      <c r="A6" s="32" t="s">
        <v>104</v>
      </c>
      <c r="B6" s="21" t="s">
        <v>106</v>
      </c>
      <c r="C6" s="4" t="s">
        <v>107</v>
      </c>
      <c r="D6" s="4" t="s">
        <v>108</v>
      </c>
      <c r="E6" s="4" t="str">
        <f>"0,9267"</f>
        <v>0,9267</v>
      </c>
      <c r="F6" s="4" t="s">
        <v>14</v>
      </c>
      <c r="G6" s="4" t="s">
        <v>275</v>
      </c>
      <c r="H6" s="11" t="s">
        <v>36</v>
      </c>
      <c r="I6" s="11" t="s">
        <v>36</v>
      </c>
      <c r="J6" s="11" t="s">
        <v>36</v>
      </c>
      <c r="K6" s="9"/>
      <c r="L6" s="36">
        <v>0</v>
      </c>
      <c r="M6" s="37">
        <v>0</v>
      </c>
      <c r="N6" s="4" t="s">
        <v>18</v>
      </c>
    </row>
    <row r="7" spans="1:14">
      <c r="B7" s="8" t="s">
        <v>101</v>
      </c>
    </row>
    <row r="8" spans="1:14" ht="16">
      <c r="A8" s="44" t="s">
        <v>24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4">
      <c r="A9" s="32" t="s">
        <v>100</v>
      </c>
      <c r="B9" s="21" t="s">
        <v>109</v>
      </c>
      <c r="C9" s="4" t="s">
        <v>110</v>
      </c>
      <c r="D9" s="4" t="s">
        <v>111</v>
      </c>
      <c r="E9" s="4" t="str">
        <f>"0,7813"</f>
        <v>0,7813</v>
      </c>
      <c r="F9" s="4" t="s">
        <v>14</v>
      </c>
      <c r="G9" s="4" t="s">
        <v>112</v>
      </c>
      <c r="H9" s="10" t="s">
        <v>113</v>
      </c>
      <c r="I9" s="11" t="s">
        <v>114</v>
      </c>
      <c r="J9" s="11" t="s">
        <v>114</v>
      </c>
      <c r="K9" s="9"/>
      <c r="L9" s="9" t="str">
        <f>"65,0"</f>
        <v>65,0</v>
      </c>
      <c r="M9" s="9" t="str">
        <f>"50,7845"</f>
        <v>50,7845</v>
      </c>
      <c r="N9" s="4" t="s">
        <v>115</v>
      </c>
    </row>
    <row r="10" spans="1:14">
      <c r="B10" s="8" t="s">
        <v>101</v>
      </c>
    </row>
    <row r="11" spans="1:14" ht="16">
      <c r="A11" s="44" t="s">
        <v>31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4">
      <c r="A12" s="32" t="s">
        <v>100</v>
      </c>
      <c r="B12" s="21" t="s">
        <v>116</v>
      </c>
      <c r="C12" s="4" t="s">
        <v>117</v>
      </c>
      <c r="D12" s="4" t="s">
        <v>118</v>
      </c>
      <c r="E12" s="4" t="str">
        <f>"0,7330"</f>
        <v>0,7330</v>
      </c>
      <c r="F12" s="4" t="s">
        <v>14</v>
      </c>
      <c r="G12" s="4" t="s">
        <v>49</v>
      </c>
      <c r="H12" s="10" t="s">
        <v>119</v>
      </c>
      <c r="I12" s="10" t="s">
        <v>50</v>
      </c>
      <c r="J12" s="10" t="s">
        <v>120</v>
      </c>
      <c r="K12" s="9"/>
      <c r="L12" s="9" t="str">
        <f>"97,5"</f>
        <v>97,5</v>
      </c>
      <c r="M12" s="9" t="str">
        <f>"71,4675"</f>
        <v>71,4675</v>
      </c>
      <c r="N12" s="4" t="s">
        <v>51</v>
      </c>
    </row>
    <row r="13" spans="1:14">
      <c r="B13" s="8" t="s">
        <v>101</v>
      </c>
    </row>
    <row r="14" spans="1:14" ht="16">
      <c r="A14" s="44" t="s">
        <v>56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4">
      <c r="A15" s="32" t="s">
        <v>100</v>
      </c>
      <c r="B15" s="21" t="s">
        <v>121</v>
      </c>
      <c r="C15" s="4" t="s">
        <v>122</v>
      </c>
      <c r="D15" s="4" t="s">
        <v>123</v>
      </c>
      <c r="E15" s="4" t="str">
        <f>"0,6455"</f>
        <v>0,6455</v>
      </c>
      <c r="F15" s="4" t="s">
        <v>14</v>
      </c>
      <c r="G15" s="4" t="s">
        <v>275</v>
      </c>
      <c r="H15" s="10" t="s">
        <v>124</v>
      </c>
      <c r="I15" s="10" t="s">
        <v>125</v>
      </c>
      <c r="J15" s="10" t="s">
        <v>126</v>
      </c>
      <c r="K15" s="9"/>
      <c r="L15" s="9" t="str">
        <f>"150,0"</f>
        <v>150,0</v>
      </c>
      <c r="M15" s="9" t="str">
        <f>"96,8250"</f>
        <v>96,8250</v>
      </c>
      <c r="N15" s="4" t="s">
        <v>30</v>
      </c>
    </row>
    <row r="16" spans="1:14">
      <c r="B16" s="8" t="s">
        <v>101</v>
      </c>
    </row>
    <row r="17" spans="1:14" ht="16">
      <c r="A17" s="44" t="s">
        <v>127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4">
      <c r="A18" s="32" t="s">
        <v>100</v>
      </c>
      <c r="B18" s="21" t="s">
        <v>128</v>
      </c>
      <c r="C18" s="4" t="s">
        <v>129</v>
      </c>
      <c r="D18" s="4" t="s">
        <v>130</v>
      </c>
      <c r="E18" s="4" t="str">
        <f>"0,6163"</f>
        <v>0,6163</v>
      </c>
      <c r="F18" s="4" t="s">
        <v>14</v>
      </c>
      <c r="G18" s="4" t="s">
        <v>276</v>
      </c>
      <c r="H18" s="10" t="s">
        <v>131</v>
      </c>
      <c r="I18" s="11" t="s">
        <v>94</v>
      </c>
      <c r="J18" s="11" t="s">
        <v>94</v>
      </c>
      <c r="K18" s="9"/>
      <c r="L18" s="9" t="str">
        <f>"162,5"</f>
        <v>162,5</v>
      </c>
      <c r="M18" s="9" t="str">
        <f>"100,1487"</f>
        <v>100,1487</v>
      </c>
      <c r="N18" s="4" t="s">
        <v>18</v>
      </c>
    </row>
    <row r="19" spans="1:14">
      <c r="B19" s="8" t="s">
        <v>101</v>
      </c>
    </row>
    <row r="20" spans="1:14" ht="16">
      <c r="A20" s="44" t="s">
        <v>63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4">
      <c r="A21" s="28" t="s">
        <v>274</v>
      </c>
      <c r="B21" s="22" t="s">
        <v>132</v>
      </c>
      <c r="C21" s="5" t="s">
        <v>133</v>
      </c>
      <c r="D21" s="5" t="s">
        <v>134</v>
      </c>
      <c r="E21" s="5" t="str">
        <f>"0,5932"</f>
        <v>0,5932</v>
      </c>
      <c r="F21" s="5" t="s">
        <v>14</v>
      </c>
      <c r="G21" s="5" t="s">
        <v>276</v>
      </c>
      <c r="H21" s="14" t="s">
        <v>135</v>
      </c>
      <c r="I21" s="13" t="s">
        <v>135</v>
      </c>
      <c r="J21" s="13" t="s">
        <v>94</v>
      </c>
      <c r="K21" s="12"/>
      <c r="L21" s="12" t="str">
        <f>"175,0"</f>
        <v>175,0</v>
      </c>
      <c r="M21" s="12" t="str">
        <f>"103,8100"</f>
        <v>103,8100</v>
      </c>
      <c r="N21" s="5" t="s">
        <v>136</v>
      </c>
    </row>
    <row r="22" spans="1:14">
      <c r="A22" s="34" t="s">
        <v>100</v>
      </c>
      <c r="B22" s="24" t="s">
        <v>79</v>
      </c>
      <c r="C22" s="7" t="s">
        <v>80</v>
      </c>
      <c r="D22" s="7" t="s">
        <v>66</v>
      </c>
      <c r="E22" s="7" t="str">
        <f>"0,5968"</f>
        <v>0,5968</v>
      </c>
      <c r="F22" s="7" t="s">
        <v>14</v>
      </c>
      <c r="G22" s="7" t="s">
        <v>275</v>
      </c>
      <c r="H22" s="20" t="s">
        <v>125</v>
      </c>
      <c r="I22" s="19" t="s">
        <v>126</v>
      </c>
      <c r="J22" s="20" t="s">
        <v>137</v>
      </c>
      <c r="K22" s="18"/>
      <c r="L22" s="18" t="str">
        <f>"150,0"</f>
        <v>150,0</v>
      </c>
      <c r="M22" s="18" t="str">
        <f>"89,5200"</f>
        <v>89,5200</v>
      </c>
      <c r="N22" s="7" t="s">
        <v>81</v>
      </c>
    </row>
    <row r="23" spans="1:14">
      <c r="A23" s="35" t="s">
        <v>100</v>
      </c>
      <c r="B23" s="23" t="s">
        <v>138</v>
      </c>
      <c r="C23" s="6" t="s">
        <v>139</v>
      </c>
      <c r="D23" s="6" t="s">
        <v>140</v>
      </c>
      <c r="E23" s="6" t="str">
        <f>"0,5905"</f>
        <v>0,5905</v>
      </c>
      <c r="F23" s="6" t="s">
        <v>14</v>
      </c>
      <c r="G23" s="6" t="s">
        <v>141</v>
      </c>
      <c r="H23" s="17" t="s">
        <v>142</v>
      </c>
      <c r="I23" s="16" t="s">
        <v>142</v>
      </c>
      <c r="J23" s="16" t="s">
        <v>137</v>
      </c>
      <c r="K23" s="15"/>
      <c r="L23" s="15" t="str">
        <f>"155,0"</f>
        <v>155,0</v>
      </c>
      <c r="M23" s="15" t="str">
        <f>"97,0191"</f>
        <v>97,0191</v>
      </c>
      <c r="N23" s="6" t="s">
        <v>18</v>
      </c>
    </row>
    <row r="24" spans="1:14">
      <c r="B24" s="8" t="s">
        <v>101</v>
      </c>
    </row>
    <row r="25" spans="1:14">
      <c r="B25" s="8" t="s">
        <v>101</v>
      </c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0:K20"/>
    <mergeCell ref="A5:K5"/>
    <mergeCell ref="A8:K8"/>
    <mergeCell ref="A11:K11"/>
    <mergeCell ref="A14:K14"/>
    <mergeCell ref="A17:K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N34"/>
  <sheetViews>
    <sheetView workbookViewId="0">
      <selection sqref="A1:N2"/>
    </sheetView>
  </sheetViews>
  <sheetFormatPr baseColWidth="10" defaultColWidth="9.1640625" defaultRowHeight="13"/>
  <cols>
    <col min="1" max="1" width="7.5" style="33" bestFit="1" customWidth="1"/>
    <col min="2" max="2" width="19.1640625" style="8" bestFit="1" customWidth="1"/>
    <col min="3" max="3" width="26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8.5" style="3" bestFit="1" customWidth="1"/>
    <col min="8" max="11" width="5.5" style="2" customWidth="1"/>
    <col min="12" max="12" width="10.5" style="2" bestFit="1" customWidth="1"/>
    <col min="13" max="13" width="8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46" t="s">
        <v>278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53" t="s">
        <v>105</v>
      </c>
      <c r="B3" s="60" t="s">
        <v>0</v>
      </c>
      <c r="C3" s="55" t="s">
        <v>5</v>
      </c>
      <c r="D3" s="55" t="s">
        <v>7</v>
      </c>
      <c r="E3" s="57" t="s">
        <v>8</v>
      </c>
      <c r="F3" s="57" t="s">
        <v>3</v>
      </c>
      <c r="G3" s="58" t="s">
        <v>6</v>
      </c>
      <c r="H3" s="57" t="s">
        <v>9</v>
      </c>
      <c r="I3" s="57"/>
      <c r="J3" s="57"/>
      <c r="K3" s="57"/>
      <c r="L3" s="62" t="s">
        <v>99</v>
      </c>
      <c r="M3" s="57" t="s">
        <v>2</v>
      </c>
      <c r="N3" s="64" t="s">
        <v>1</v>
      </c>
    </row>
    <row r="4" spans="1:14" s="1" customFormat="1" ht="21" customHeight="1" thickBot="1">
      <c r="A4" s="54"/>
      <c r="B4" s="61"/>
      <c r="C4" s="56"/>
      <c r="D4" s="56"/>
      <c r="E4" s="56"/>
      <c r="F4" s="56"/>
      <c r="G4" s="59"/>
      <c r="H4" s="26">
        <v>1</v>
      </c>
      <c r="I4" s="26">
        <v>2</v>
      </c>
      <c r="J4" s="26">
        <v>3</v>
      </c>
      <c r="K4" s="26" t="s">
        <v>4</v>
      </c>
      <c r="L4" s="63"/>
      <c r="M4" s="56"/>
      <c r="N4" s="65"/>
    </row>
    <row r="5" spans="1:14" ht="16">
      <c r="A5" s="44" t="s">
        <v>10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4">
      <c r="A6" s="32" t="s">
        <v>100</v>
      </c>
      <c r="B6" s="21" t="s">
        <v>11</v>
      </c>
      <c r="C6" s="4" t="s">
        <v>12</v>
      </c>
      <c r="D6" s="4" t="s">
        <v>13</v>
      </c>
      <c r="E6" s="4" t="str">
        <f>"1,0321"</f>
        <v>1,0321</v>
      </c>
      <c r="F6" s="4" t="s">
        <v>14</v>
      </c>
      <c r="G6" s="4" t="s">
        <v>275</v>
      </c>
      <c r="H6" s="10" t="s">
        <v>15</v>
      </c>
      <c r="I6" s="10" t="s">
        <v>16</v>
      </c>
      <c r="J6" s="11" t="s">
        <v>17</v>
      </c>
      <c r="K6" s="9"/>
      <c r="L6" s="9" t="str">
        <f>"55,0"</f>
        <v>55,0</v>
      </c>
      <c r="M6" s="9" t="str">
        <f>"56,7655"</f>
        <v>56,7655</v>
      </c>
      <c r="N6" s="4" t="s">
        <v>18</v>
      </c>
    </row>
    <row r="7" spans="1:14">
      <c r="B7" s="8" t="s">
        <v>101</v>
      </c>
    </row>
    <row r="8" spans="1:14" ht="16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4">
      <c r="A9" s="32" t="s">
        <v>100</v>
      </c>
      <c r="B9" s="21" t="s">
        <v>20</v>
      </c>
      <c r="C9" s="4" t="s">
        <v>21</v>
      </c>
      <c r="D9" s="4" t="s">
        <v>22</v>
      </c>
      <c r="E9" s="4" t="str">
        <f>"0,9152"</f>
        <v>0,9152</v>
      </c>
      <c r="F9" s="4" t="s">
        <v>14</v>
      </c>
      <c r="G9" s="31" t="s">
        <v>275</v>
      </c>
      <c r="H9" s="10" t="s">
        <v>15</v>
      </c>
      <c r="I9" s="11" t="s">
        <v>17</v>
      </c>
      <c r="J9" s="11" t="s">
        <v>23</v>
      </c>
      <c r="K9" s="9"/>
      <c r="L9" s="9" t="str">
        <f>"50,0"</f>
        <v>50,0</v>
      </c>
      <c r="M9" s="9" t="str">
        <f>"45,7600"</f>
        <v>45,7600</v>
      </c>
      <c r="N9" s="4" t="s">
        <v>18</v>
      </c>
    </row>
    <row r="10" spans="1:14">
      <c r="B10" s="8" t="s">
        <v>101</v>
      </c>
    </row>
    <row r="11" spans="1:14" ht="16">
      <c r="A11" s="44" t="s">
        <v>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4">
      <c r="A12" s="32" t="s">
        <v>100</v>
      </c>
      <c r="B12" s="21" t="s">
        <v>25</v>
      </c>
      <c r="C12" s="4" t="s">
        <v>26</v>
      </c>
      <c r="D12" s="4" t="s">
        <v>27</v>
      </c>
      <c r="E12" s="4" t="str">
        <f>"0,8415"</f>
        <v>0,8415</v>
      </c>
      <c r="F12" s="4" t="s">
        <v>14</v>
      </c>
      <c r="G12" s="4" t="s">
        <v>275</v>
      </c>
      <c r="H12" s="10" t="s">
        <v>28</v>
      </c>
      <c r="I12" s="11" t="s">
        <v>29</v>
      </c>
      <c r="J12" s="11" t="s">
        <v>29</v>
      </c>
      <c r="K12" s="9"/>
      <c r="L12" s="9" t="str">
        <f>"95,0"</f>
        <v>95,0</v>
      </c>
      <c r="M12" s="9" t="str">
        <f>"79,9425"</f>
        <v>79,9425</v>
      </c>
      <c r="N12" s="4" t="s">
        <v>30</v>
      </c>
    </row>
    <row r="13" spans="1:14">
      <c r="B13" s="8" t="s">
        <v>101</v>
      </c>
    </row>
    <row r="14" spans="1:14" ht="16">
      <c r="A14" s="44" t="s">
        <v>31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4">
      <c r="A15" s="38" t="s">
        <v>100</v>
      </c>
      <c r="B15" s="22" t="s">
        <v>32</v>
      </c>
      <c r="C15" s="5" t="s">
        <v>33</v>
      </c>
      <c r="D15" s="5" t="s">
        <v>34</v>
      </c>
      <c r="E15" s="5" t="str">
        <f>"0,7552"</f>
        <v>0,7552</v>
      </c>
      <c r="F15" s="5" t="s">
        <v>14</v>
      </c>
      <c r="G15" s="5" t="s">
        <v>275</v>
      </c>
      <c r="H15" s="13" t="s">
        <v>35</v>
      </c>
      <c r="I15" s="13" t="s">
        <v>36</v>
      </c>
      <c r="J15" s="14" t="s">
        <v>37</v>
      </c>
      <c r="K15" s="12"/>
      <c r="L15" s="12" t="str">
        <f>"80,0"</f>
        <v>80,0</v>
      </c>
      <c r="M15" s="12" t="str">
        <f>"60,4160"</f>
        <v>60,4160</v>
      </c>
      <c r="N15" s="5" t="s">
        <v>30</v>
      </c>
    </row>
    <row r="16" spans="1:14">
      <c r="A16" s="35" t="s">
        <v>100</v>
      </c>
      <c r="B16" s="23" t="s">
        <v>38</v>
      </c>
      <c r="C16" s="6" t="s">
        <v>39</v>
      </c>
      <c r="D16" s="6" t="s">
        <v>40</v>
      </c>
      <c r="E16" s="6" t="str">
        <f>"0,7337"</f>
        <v>0,7337</v>
      </c>
      <c r="F16" s="6" t="s">
        <v>14</v>
      </c>
      <c r="G16" s="6" t="s">
        <v>41</v>
      </c>
      <c r="H16" s="16" t="s">
        <v>42</v>
      </c>
      <c r="I16" s="16" t="s">
        <v>43</v>
      </c>
      <c r="J16" s="16" t="s">
        <v>44</v>
      </c>
      <c r="K16" s="15"/>
      <c r="L16" s="15" t="str">
        <f>"140,0"</f>
        <v>140,0</v>
      </c>
      <c r="M16" s="15" t="str">
        <f>"102,7180"</f>
        <v>102,7180</v>
      </c>
      <c r="N16" s="6" t="s">
        <v>18</v>
      </c>
    </row>
    <row r="17" spans="1:14">
      <c r="B17" s="8" t="s">
        <v>101</v>
      </c>
    </row>
    <row r="18" spans="1:14" ht="16">
      <c r="A18" s="44" t="s">
        <v>45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4">
      <c r="A19" s="38" t="s">
        <v>100</v>
      </c>
      <c r="B19" s="22" t="s">
        <v>46</v>
      </c>
      <c r="C19" s="5" t="s">
        <v>47</v>
      </c>
      <c r="D19" s="5" t="s">
        <v>48</v>
      </c>
      <c r="E19" s="5" t="str">
        <f>"0,6888"</f>
        <v>0,6888</v>
      </c>
      <c r="F19" s="5" t="s">
        <v>14</v>
      </c>
      <c r="G19" s="5" t="s">
        <v>49</v>
      </c>
      <c r="H19" s="13" t="s">
        <v>37</v>
      </c>
      <c r="I19" s="14" t="s">
        <v>50</v>
      </c>
      <c r="J19" s="14" t="s">
        <v>28</v>
      </c>
      <c r="K19" s="12"/>
      <c r="L19" s="12" t="str">
        <f>"82,5"</f>
        <v>82,5</v>
      </c>
      <c r="M19" s="12" t="str">
        <f>"56,8260"</f>
        <v>56,8260</v>
      </c>
      <c r="N19" s="5" t="s">
        <v>51</v>
      </c>
    </row>
    <row r="20" spans="1:14">
      <c r="A20" s="35" t="s">
        <v>100</v>
      </c>
      <c r="B20" s="23" t="s">
        <v>52</v>
      </c>
      <c r="C20" s="6" t="s">
        <v>53</v>
      </c>
      <c r="D20" s="6" t="s">
        <v>54</v>
      </c>
      <c r="E20" s="6" t="str">
        <f>"0,6876"</f>
        <v>0,6876</v>
      </c>
      <c r="F20" s="6" t="s">
        <v>14</v>
      </c>
      <c r="G20" s="6" t="s">
        <v>275</v>
      </c>
      <c r="H20" s="16" t="s">
        <v>35</v>
      </c>
      <c r="I20" s="16" t="s">
        <v>55</v>
      </c>
      <c r="J20" s="17" t="s">
        <v>36</v>
      </c>
      <c r="K20" s="15"/>
      <c r="L20" s="15" t="str">
        <f>"77,5"</f>
        <v>77,5</v>
      </c>
      <c r="M20" s="15" t="str">
        <f>"53,2890"</f>
        <v>53,2890</v>
      </c>
      <c r="N20" s="6" t="s">
        <v>30</v>
      </c>
    </row>
    <row r="21" spans="1:14">
      <c r="B21" s="8" t="s">
        <v>101</v>
      </c>
    </row>
    <row r="22" spans="1:14" ht="16">
      <c r="A22" s="44" t="s">
        <v>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4">
      <c r="A23" s="32" t="s">
        <v>100</v>
      </c>
      <c r="B23" s="21" t="s">
        <v>57</v>
      </c>
      <c r="C23" s="4" t="s">
        <v>58</v>
      </c>
      <c r="D23" s="4" t="s">
        <v>59</v>
      </c>
      <c r="E23" s="4" t="str">
        <f>"0,6395"</f>
        <v>0,6395</v>
      </c>
      <c r="F23" s="4" t="s">
        <v>14</v>
      </c>
      <c r="G23" s="4" t="s">
        <v>60</v>
      </c>
      <c r="H23" s="10" t="s">
        <v>61</v>
      </c>
      <c r="I23" s="11" t="s">
        <v>62</v>
      </c>
      <c r="J23" s="11" t="s">
        <v>62</v>
      </c>
      <c r="K23" s="9"/>
      <c r="L23" s="9" t="str">
        <f>"265,0"</f>
        <v>265,0</v>
      </c>
      <c r="M23" s="9" t="str">
        <f>"169,4675"</f>
        <v>169,4675</v>
      </c>
      <c r="N23" s="4" t="s">
        <v>18</v>
      </c>
    </row>
    <row r="24" spans="1:14">
      <c r="B24" s="8" t="s">
        <v>101</v>
      </c>
    </row>
    <row r="25" spans="1:14" ht="16">
      <c r="A25" s="44" t="s">
        <v>63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4">
      <c r="A26" s="38" t="s">
        <v>100</v>
      </c>
      <c r="B26" s="22" t="s">
        <v>64</v>
      </c>
      <c r="C26" s="5" t="s">
        <v>65</v>
      </c>
      <c r="D26" s="5" t="s">
        <v>66</v>
      </c>
      <c r="E26" s="5" t="str">
        <f>"0,5968"</f>
        <v>0,5968</v>
      </c>
      <c r="F26" s="5" t="s">
        <v>14</v>
      </c>
      <c r="G26" s="39" t="s">
        <v>281</v>
      </c>
      <c r="H26" s="13" t="s">
        <v>67</v>
      </c>
      <c r="I26" s="13" t="s">
        <v>68</v>
      </c>
      <c r="J26" s="14" t="s">
        <v>69</v>
      </c>
      <c r="K26" s="12"/>
      <c r="L26" s="12" t="str">
        <f>"190,0"</f>
        <v>190,0</v>
      </c>
      <c r="M26" s="12" t="str">
        <f>"113,3920"</f>
        <v>113,3920</v>
      </c>
      <c r="N26" s="5" t="s">
        <v>18</v>
      </c>
    </row>
    <row r="27" spans="1:14">
      <c r="A27" s="34" t="s">
        <v>102</v>
      </c>
      <c r="B27" s="24" t="s">
        <v>70</v>
      </c>
      <c r="C27" s="7" t="s">
        <v>71</v>
      </c>
      <c r="D27" s="7" t="s">
        <v>72</v>
      </c>
      <c r="E27" s="7" t="str">
        <f>"0,5900"</f>
        <v>0,5900</v>
      </c>
      <c r="F27" s="7" t="s">
        <v>14</v>
      </c>
      <c r="G27" s="7" t="s">
        <v>276</v>
      </c>
      <c r="H27" s="19" t="s">
        <v>73</v>
      </c>
      <c r="I27" s="19" t="s">
        <v>67</v>
      </c>
      <c r="J27" s="20" t="s">
        <v>74</v>
      </c>
      <c r="K27" s="18"/>
      <c r="L27" s="18" t="str">
        <f>"180,0"</f>
        <v>180,0</v>
      </c>
      <c r="M27" s="18" t="str">
        <f>"106,2000"</f>
        <v>106,2000</v>
      </c>
      <c r="N27" s="7" t="s">
        <v>18</v>
      </c>
    </row>
    <row r="28" spans="1:14">
      <c r="A28" s="35" t="s">
        <v>103</v>
      </c>
      <c r="B28" s="23" t="s">
        <v>75</v>
      </c>
      <c r="C28" s="6" t="s">
        <v>76</v>
      </c>
      <c r="D28" s="6" t="s">
        <v>77</v>
      </c>
      <c r="E28" s="6" t="str">
        <f>"0,6035"</f>
        <v>0,6035</v>
      </c>
      <c r="F28" s="6" t="s">
        <v>14</v>
      </c>
      <c r="G28" s="30" t="s">
        <v>281</v>
      </c>
      <c r="H28" s="16" t="s">
        <v>78</v>
      </c>
      <c r="I28" s="17" t="s">
        <v>42</v>
      </c>
      <c r="J28" s="17" t="s">
        <v>42</v>
      </c>
      <c r="K28" s="15"/>
      <c r="L28" s="15" t="str">
        <f>"120,0"</f>
        <v>120,0</v>
      </c>
      <c r="M28" s="15" t="str">
        <f>"72,4200"</f>
        <v>72,4200</v>
      </c>
      <c r="N28" s="6" t="s">
        <v>30</v>
      </c>
    </row>
    <row r="29" spans="1:14">
      <c r="B29" s="8" t="s">
        <v>101</v>
      </c>
    </row>
    <row r="30" spans="1:14" ht="16">
      <c r="A30" s="44" t="s">
        <v>82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4">
      <c r="A31" s="38" t="s">
        <v>100</v>
      </c>
      <c r="B31" s="22" t="s">
        <v>83</v>
      </c>
      <c r="C31" s="5" t="s">
        <v>84</v>
      </c>
      <c r="D31" s="5" t="s">
        <v>85</v>
      </c>
      <c r="E31" s="5" t="str">
        <f>"0,5793"</f>
        <v>0,5793</v>
      </c>
      <c r="F31" s="5" t="s">
        <v>14</v>
      </c>
      <c r="G31" s="5" t="s">
        <v>86</v>
      </c>
      <c r="H31" s="13" t="s">
        <v>87</v>
      </c>
      <c r="I31" s="13" t="s">
        <v>88</v>
      </c>
      <c r="J31" s="13" t="s">
        <v>89</v>
      </c>
      <c r="K31" s="14" t="s">
        <v>90</v>
      </c>
      <c r="L31" s="12" t="str">
        <f>"275,0"</f>
        <v>275,0</v>
      </c>
      <c r="M31" s="12" t="str">
        <f>"159,3075"</f>
        <v>159,3075</v>
      </c>
      <c r="N31" s="5" t="s">
        <v>18</v>
      </c>
    </row>
    <row r="32" spans="1:14">
      <c r="A32" s="34" t="s">
        <v>102</v>
      </c>
      <c r="B32" s="24" t="s">
        <v>91</v>
      </c>
      <c r="C32" s="7" t="s">
        <v>92</v>
      </c>
      <c r="D32" s="7" t="s">
        <v>93</v>
      </c>
      <c r="E32" s="7" t="str">
        <f>"0,5716"</f>
        <v>0,5716</v>
      </c>
      <c r="F32" s="7" t="s">
        <v>14</v>
      </c>
      <c r="G32" s="7" t="s">
        <v>41</v>
      </c>
      <c r="H32" s="19" t="s">
        <v>94</v>
      </c>
      <c r="I32" s="19" t="s">
        <v>67</v>
      </c>
      <c r="J32" s="19" t="s">
        <v>95</v>
      </c>
      <c r="K32" s="18"/>
      <c r="L32" s="18" t="str">
        <f>"182,5"</f>
        <v>182,5</v>
      </c>
      <c r="M32" s="18" t="str">
        <f>"104,3170"</f>
        <v>104,3170</v>
      </c>
      <c r="N32" s="7" t="s">
        <v>18</v>
      </c>
    </row>
    <row r="33" spans="1:14">
      <c r="A33" s="35" t="s">
        <v>103</v>
      </c>
      <c r="B33" s="23" t="s">
        <v>96</v>
      </c>
      <c r="C33" s="6" t="s">
        <v>97</v>
      </c>
      <c r="D33" s="6" t="s">
        <v>98</v>
      </c>
      <c r="E33" s="6" t="str">
        <f>"0,5803"</f>
        <v>0,5803</v>
      </c>
      <c r="F33" s="6" t="s">
        <v>14</v>
      </c>
      <c r="G33" s="6" t="s">
        <v>86</v>
      </c>
      <c r="H33" s="16" t="s">
        <v>73</v>
      </c>
      <c r="I33" s="17" t="s">
        <v>67</v>
      </c>
      <c r="J33" s="17" t="s">
        <v>67</v>
      </c>
      <c r="K33" s="15"/>
      <c r="L33" s="15" t="str">
        <f>"170,0"</f>
        <v>170,0</v>
      </c>
      <c r="M33" s="15" t="str">
        <f>"98,6510"</f>
        <v>98,6510</v>
      </c>
      <c r="N33" s="6" t="s">
        <v>18</v>
      </c>
    </row>
    <row r="34" spans="1:14">
      <c r="B34" s="8" t="s">
        <v>101</v>
      </c>
    </row>
  </sheetData>
  <mergeCells count="20"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A22:K22"/>
    <mergeCell ref="A25:K25"/>
    <mergeCell ref="A30:K30"/>
    <mergeCell ref="B3:B4"/>
    <mergeCell ref="A5:K5"/>
    <mergeCell ref="A8:K8"/>
    <mergeCell ref="A11:K11"/>
    <mergeCell ref="A14:K14"/>
    <mergeCell ref="A18:K18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workbookViewId="0">
      <selection activeCell="G34" sqref="G34"/>
    </sheetView>
  </sheetViews>
  <sheetFormatPr baseColWidth="10" defaultColWidth="9.1640625" defaultRowHeight="13"/>
  <cols>
    <col min="1" max="1" width="7.5" style="33" bestFit="1" customWidth="1"/>
    <col min="2" max="2" width="18.1640625" style="8" bestFit="1" customWidth="1"/>
    <col min="3" max="3" width="27.83203125" style="3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8.5" style="3" bestFit="1" customWidth="1"/>
    <col min="8" max="11" width="5.5" style="2" customWidth="1"/>
    <col min="12" max="12" width="10.5" style="2" bestFit="1" customWidth="1"/>
    <col min="13" max="13" width="8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46" t="s">
        <v>279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53" t="s">
        <v>105</v>
      </c>
      <c r="B3" s="60" t="s">
        <v>0</v>
      </c>
      <c r="C3" s="55" t="s">
        <v>5</v>
      </c>
      <c r="D3" s="55" t="s">
        <v>7</v>
      </c>
      <c r="E3" s="57" t="s">
        <v>8</v>
      </c>
      <c r="F3" s="57" t="s">
        <v>3</v>
      </c>
      <c r="G3" s="58" t="s">
        <v>6</v>
      </c>
      <c r="H3" s="57" t="s">
        <v>143</v>
      </c>
      <c r="I3" s="57"/>
      <c r="J3" s="57"/>
      <c r="K3" s="57"/>
      <c r="L3" s="62" t="s">
        <v>99</v>
      </c>
      <c r="M3" s="57" t="s">
        <v>2</v>
      </c>
      <c r="N3" s="64" t="s">
        <v>1</v>
      </c>
    </row>
    <row r="4" spans="1:14" s="1" customFormat="1" ht="21" customHeight="1" thickBot="1">
      <c r="A4" s="54"/>
      <c r="B4" s="61"/>
      <c r="C4" s="56"/>
      <c r="D4" s="56"/>
      <c r="E4" s="56"/>
      <c r="F4" s="56"/>
      <c r="G4" s="59"/>
      <c r="H4" s="26">
        <v>1</v>
      </c>
      <c r="I4" s="26">
        <v>2</v>
      </c>
      <c r="J4" s="26">
        <v>3</v>
      </c>
      <c r="K4" s="26" t="s">
        <v>4</v>
      </c>
      <c r="L4" s="63"/>
      <c r="M4" s="56"/>
      <c r="N4" s="65"/>
    </row>
    <row r="5" spans="1:14" ht="16">
      <c r="A5" s="44" t="s">
        <v>24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4">
      <c r="A6" s="38" t="s">
        <v>100</v>
      </c>
      <c r="B6" s="22" t="s">
        <v>201</v>
      </c>
      <c r="C6" s="5" t="s">
        <v>202</v>
      </c>
      <c r="D6" s="5" t="s">
        <v>203</v>
      </c>
      <c r="E6" s="5" t="str">
        <f>"1,0503"</f>
        <v>1,0503</v>
      </c>
      <c r="F6" s="5" t="s">
        <v>14</v>
      </c>
      <c r="G6" s="39" t="s">
        <v>281</v>
      </c>
      <c r="H6" s="13" t="s">
        <v>50</v>
      </c>
      <c r="I6" s="14" t="s">
        <v>29</v>
      </c>
      <c r="J6" s="13" t="s">
        <v>29</v>
      </c>
      <c r="K6" s="12"/>
      <c r="L6" s="12" t="str">
        <f>"100,0"</f>
        <v>100,0</v>
      </c>
      <c r="M6" s="12" t="str">
        <f>"105,0300"</f>
        <v>105,0300</v>
      </c>
      <c r="N6" s="5" t="s">
        <v>81</v>
      </c>
    </row>
    <row r="7" spans="1:14">
      <c r="A7" s="35" t="s">
        <v>100</v>
      </c>
      <c r="B7" s="23" t="s">
        <v>204</v>
      </c>
      <c r="C7" s="6" t="s">
        <v>205</v>
      </c>
      <c r="D7" s="6" t="s">
        <v>206</v>
      </c>
      <c r="E7" s="6" t="str">
        <f>"1,0317"</f>
        <v>1,0317</v>
      </c>
      <c r="F7" s="6" t="s">
        <v>14</v>
      </c>
      <c r="G7" s="6" t="s">
        <v>207</v>
      </c>
      <c r="H7" s="16" t="s">
        <v>36</v>
      </c>
      <c r="I7" s="16" t="s">
        <v>50</v>
      </c>
      <c r="J7" s="16" t="s">
        <v>28</v>
      </c>
      <c r="K7" s="15"/>
      <c r="L7" s="15" t="str">
        <f>"95,0"</f>
        <v>95,0</v>
      </c>
      <c r="M7" s="15" t="str">
        <f>"98,0115"</f>
        <v>98,0115</v>
      </c>
      <c r="N7" s="6" t="s">
        <v>115</v>
      </c>
    </row>
    <row r="8" spans="1:14">
      <c r="B8" s="8" t="s">
        <v>101</v>
      </c>
    </row>
    <row r="9" spans="1:14" ht="16">
      <c r="A9" s="44" t="s">
        <v>10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4">
      <c r="A10" s="38" t="s">
        <v>100</v>
      </c>
      <c r="B10" s="22" t="s">
        <v>208</v>
      </c>
      <c r="C10" s="5" t="s">
        <v>209</v>
      </c>
      <c r="D10" s="5" t="s">
        <v>210</v>
      </c>
      <c r="E10" s="5" t="str">
        <f>"0,9853"</f>
        <v>0,9853</v>
      </c>
      <c r="F10" s="5" t="s">
        <v>14</v>
      </c>
      <c r="G10" s="5" t="s">
        <v>275</v>
      </c>
      <c r="H10" s="13" t="s">
        <v>35</v>
      </c>
      <c r="I10" s="13" t="s">
        <v>55</v>
      </c>
      <c r="J10" s="14" t="s">
        <v>37</v>
      </c>
      <c r="K10" s="12"/>
      <c r="L10" s="12" t="str">
        <f>"77,5"</f>
        <v>77,5</v>
      </c>
      <c r="M10" s="12" t="str">
        <f>"76,3608"</f>
        <v>76,3608</v>
      </c>
      <c r="N10" s="5" t="s">
        <v>81</v>
      </c>
    </row>
    <row r="11" spans="1:14">
      <c r="A11" s="34" t="s">
        <v>102</v>
      </c>
      <c r="B11" s="24" t="s">
        <v>211</v>
      </c>
      <c r="C11" s="7" t="s">
        <v>212</v>
      </c>
      <c r="D11" s="7" t="s">
        <v>213</v>
      </c>
      <c r="E11" s="7" t="str">
        <f>"1,0460"</f>
        <v>1,0460</v>
      </c>
      <c r="F11" s="7" t="s">
        <v>14</v>
      </c>
      <c r="G11" s="7" t="s">
        <v>275</v>
      </c>
      <c r="H11" s="19" t="s">
        <v>35</v>
      </c>
      <c r="I11" s="19" t="s">
        <v>214</v>
      </c>
      <c r="J11" s="20" t="s">
        <v>37</v>
      </c>
      <c r="K11" s="18"/>
      <c r="L11" s="18" t="str">
        <f>"75,0"</f>
        <v>75,0</v>
      </c>
      <c r="M11" s="18" t="str">
        <f>"78,4500"</f>
        <v>78,4500</v>
      </c>
      <c r="N11" s="7" t="s">
        <v>81</v>
      </c>
    </row>
    <row r="12" spans="1:14">
      <c r="A12" s="35" t="s">
        <v>103</v>
      </c>
      <c r="B12" s="23" t="s">
        <v>215</v>
      </c>
      <c r="C12" s="6" t="s">
        <v>216</v>
      </c>
      <c r="D12" s="6" t="s">
        <v>217</v>
      </c>
      <c r="E12" s="6" t="str">
        <f>"1,1878"</f>
        <v>1,1878</v>
      </c>
      <c r="F12" s="6" t="s">
        <v>14</v>
      </c>
      <c r="G12" s="6" t="s">
        <v>275</v>
      </c>
      <c r="H12" s="16" t="s">
        <v>218</v>
      </c>
      <c r="I12" s="16" t="s">
        <v>15</v>
      </c>
      <c r="J12" s="16" t="s">
        <v>16</v>
      </c>
      <c r="K12" s="15"/>
      <c r="L12" s="15" t="str">
        <f>"55,0"</f>
        <v>55,0</v>
      </c>
      <c r="M12" s="15" t="str">
        <f>"65,3290"</f>
        <v>65,3290</v>
      </c>
      <c r="N12" s="6" t="s">
        <v>81</v>
      </c>
    </row>
    <row r="13" spans="1:14">
      <c r="B13" s="8" t="s">
        <v>101</v>
      </c>
    </row>
    <row r="14" spans="1:14" ht="16">
      <c r="A14" s="44" t="s">
        <v>19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4">
      <c r="A15" s="32" t="s">
        <v>100</v>
      </c>
      <c r="B15" s="21" t="s">
        <v>219</v>
      </c>
      <c r="C15" s="4" t="s">
        <v>220</v>
      </c>
      <c r="D15" s="4" t="s">
        <v>221</v>
      </c>
      <c r="E15" s="4" t="str">
        <f>"0,9135"</f>
        <v>0,9135</v>
      </c>
      <c r="F15" s="4" t="s">
        <v>14</v>
      </c>
      <c r="G15" s="4" t="s">
        <v>276</v>
      </c>
      <c r="H15" s="10" t="s">
        <v>17</v>
      </c>
      <c r="I15" s="10" t="s">
        <v>35</v>
      </c>
      <c r="J15" s="10" t="s">
        <v>36</v>
      </c>
      <c r="K15" s="9"/>
      <c r="L15" s="9" t="str">
        <f>"80,0"</f>
        <v>80,0</v>
      </c>
      <c r="M15" s="9" t="str">
        <f>"73,0800"</f>
        <v>73,0800</v>
      </c>
      <c r="N15" s="4" t="s">
        <v>115</v>
      </c>
    </row>
    <row r="16" spans="1:14">
      <c r="B16" s="8" t="s">
        <v>101</v>
      </c>
    </row>
    <row r="17" spans="1:14" ht="16">
      <c r="A17" s="44" t="s">
        <v>24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4">
      <c r="A18" s="32" t="s">
        <v>100</v>
      </c>
      <c r="B18" s="21" t="s">
        <v>222</v>
      </c>
      <c r="C18" s="4" t="s">
        <v>223</v>
      </c>
      <c r="D18" s="4" t="s">
        <v>224</v>
      </c>
      <c r="E18" s="4" t="str">
        <f>"0,7881"</f>
        <v>0,7881</v>
      </c>
      <c r="F18" s="4" t="s">
        <v>14</v>
      </c>
      <c r="G18" s="4" t="s">
        <v>282</v>
      </c>
      <c r="H18" s="10" t="s">
        <v>67</v>
      </c>
      <c r="I18" s="11" t="s">
        <v>68</v>
      </c>
      <c r="J18" s="11" t="s">
        <v>68</v>
      </c>
      <c r="K18" s="9"/>
      <c r="L18" s="9" t="str">
        <f>"180,0"</f>
        <v>180,0</v>
      </c>
      <c r="M18" s="9" t="str">
        <f>"141,8580"</f>
        <v>141,8580</v>
      </c>
      <c r="N18" s="4" t="s">
        <v>115</v>
      </c>
    </row>
    <row r="19" spans="1:14">
      <c r="B19" s="8" t="s">
        <v>101</v>
      </c>
    </row>
    <row r="20" spans="1:14" ht="16">
      <c r="A20" s="44" t="s">
        <v>31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4">
      <c r="A21" s="38" t="s">
        <v>100</v>
      </c>
      <c r="B21" s="22" t="s">
        <v>116</v>
      </c>
      <c r="C21" s="5" t="s">
        <v>117</v>
      </c>
      <c r="D21" s="5" t="s">
        <v>118</v>
      </c>
      <c r="E21" s="5" t="str">
        <f>"0,7330"</f>
        <v>0,7330</v>
      </c>
      <c r="F21" s="5" t="s">
        <v>14</v>
      </c>
      <c r="G21" s="5" t="s">
        <v>49</v>
      </c>
      <c r="H21" s="13" t="s">
        <v>142</v>
      </c>
      <c r="I21" s="13" t="s">
        <v>137</v>
      </c>
      <c r="J21" s="13" t="s">
        <v>161</v>
      </c>
      <c r="K21" s="14" t="s">
        <v>73</v>
      </c>
      <c r="L21" s="12" t="str">
        <f>"165,0"</f>
        <v>165,0</v>
      </c>
      <c r="M21" s="12" t="str">
        <f>"120,9450"</f>
        <v>120,9450</v>
      </c>
      <c r="N21" s="5" t="s">
        <v>51</v>
      </c>
    </row>
    <row r="22" spans="1:14">
      <c r="A22" s="34" t="s">
        <v>104</v>
      </c>
      <c r="B22" s="24" t="s">
        <v>225</v>
      </c>
      <c r="C22" s="7" t="s">
        <v>226</v>
      </c>
      <c r="D22" s="7" t="s">
        <v>227</v>
      </c>
      <c r="E22" s="7" t="str">
        <f>"0,7300"</f>
        <v>0,7300</v>
      </c>
      <c r="F22" s="7" t="s">
        <v>14</v>
      </c>
      <c r="G22" s="29" t="s">
        <v>281</v>
      </c>
      <c r="H22" s="20" t="s">
        <v>69</v>
      </c>
      <c r="I22" s="20" t="s">
        <v>155</v>
      </c>
      <c r="J22" s="20" t="s">
        <v>155</v>
      </c>
      <c r="K22" s="18"/>
      <c r="L22" s="40">
        <v>0</v>
      </c>
      <c r="M22" s="41">
        <v>0</v>
      </c>
      <c r="N22" s="7" t="s">
        <v>18</v>
      </c>
    </row>
    <row r="23" spans="1:14">
      <c r="A23" s="35" t="s">
        <v>100</v>
      </c>
      <c r="B23" s="23" t="s">
        <v>228</v>
      </c>
      <c r="C23" s="6" t="s">
        <v>229</v>
      </c>
      <c r="D23" s="6" t="s">
        <v>230</v>
      </c>
      <c r="E23" s="6" t="str">
        <f>"0,7200"</f>
        <v>0,7200</v>
      </c>
      <c r="F23" s="6" t="s">
        <v>14</v>
      </c>
      <c r="G23" s="6" t="s">
        <v>283</v>
      </c>
      <c r="H23" s="16" t="s">
        <v>68</v>
      </c>
      <c r="I23" s="16" t="s">
        <v>231</v>
      </c>
      <c r="J23" s="17" t="s">
        <v>232</v>
      </c>
      <c r="K23" s="15"/>
      <c r="L23" s="15" t="str">
        <f>"207,5"</f>
        <v>207,5</v>
      </c>
      <c r="M23" s="15" t="str">
        <f>"149,4000"</f>
        <v>149,4000</v>
      </c>
      <c r="N23" s="6" t="s">
        <v>18</v>
      </c>
    </row>
    <row r="24" spans="1:14">
      <c r="B24" s="8" t="s">
        <v>101</v>
      </c>
    </row>
    <row r="25" spans="1:14" ht="16">
      <c r="A25" s="44" t="s">
        <v>45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4">
      <c r="A26" s="38" t="s">
        <v>100</v>
      </c>
      <c r="B26" s="22" t="s">
        <v>233</v>
      </c>
      <c r="C26" s="5" t="s">
        <v>234</v>
      </c>
      <c r="D26" s="5" t="s">
        <v>235</v>
      </c>
      <c r="E26" s="5" t="str">
        <f>"0,6754"</f>
        <v>0,6754</v>
      </c>
      <c r="F26" s="5" t="s">
        <v>14</v>
      </c>
      <c r="G26" s="5" t="s">
        <v>276</v>
      </c>
      <c r="H26" s="13" t="s">
        <v>155</v>
      </c>
      <c r="I26" s="13" t="s">
        <v>236</v>
      </c>
      <c r="J26" s="13" t="s">
        <v>199</v>
      </c>
      <c r="K26" s="12"/>
      <c r="L26" s="12" t="str">
        <f>"230,0"</f>
        <v>230,0</v>
      </c>
      <c r="M26" s="12" t="str">
        <f>"155,3420"</f>
        <v>155,3420</v>
      </c>
      <c r="N26" s="5" t="s">
        <v>18</v>
      </c>
    </row>
    <row r="27" spans="1:14">
      <c r="A27" s="35" t="s">
        <v>102</v>
      </c>
      <c r="B27" s="23" t="s">
        <v>237</v>
      </c>
      <c r="C27" s="6" t="s">
        <v>238</v>
      </c>
      <c r="D27" s="6" t="s">
        <v>239</v>
      </c>
      <c r="E27" s="6" t="str">
        <f>"0,6734"</f>
        <v>0,6734</v>
      </c>
      <c r="F27" s="6" t="s">
        <v>14</v>
      </c>
      <c r="G27" s="6" t="s">
        <v>275</v>
      </c>
      <c r="H27" s="17" t="s">
        <v>155</v>
      </c>
      <c r="I27" s="16" t="s">
        <v>240</v>
      </c>
      <c r="J27" s="16" t="s">
        <v>241</v>
      </c>
      <c r="K27" s="15"/>
      <c r="L27" s="15" t="str">
        <f>"222,5"</f>
        <v>222,5</v>
      </c>
      <c r="M27" s="15" t="str">
        <f>"149,8315"</f>
        <v>149,8315</v>
      </c>
      <c r="N27" s="6" t="s">
        <v>115</v>
      </c>
    </row>
    <row r="28" spans="1:14">
      <c r="B28" s="8" t="s">
        <v>101</v>
      </c>
    </row>
    <row r="29" spans="1:14" ht="16">
      <c r="A29" s="44" t="s">
        <v>56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4">
      <c r="A30" s="38" t="s">
        <v>100</v>
      </c>
      <c r="B30" s="22" t="s">
        <v>121</v>
      </c>
      <c r="C30" s="5" t="s">
        <v>122</v>
      </c>
      <c r="D30" s="5" t="s">
        <v>123</v>
      </c>
      <c r="E30" s="5" t="str">
        <f>"0,6455"</f>
        <v>0,6455</v>
      </c>
      <c r="F30" s="5" t="s">
        <v>14</v>
      </c>
      <c r="G30" s="39" t="s">
        <v>281</v>
      </c>
      <c r="H30" s="13" t="s">
        <v>155</v>
      </c>
      <c r="I30" s="13" t="s">
        <v>242</v>
      </c>
      <c r="J30" s="14" t="s">
        <v>241</v>
      </c>
      <c r="K30" s="12"/>
      <c r="L30" s="12" t="str">
        <f>"215,0"</f>
        <v>215,0</v>
      </c>
      <c r="M30" s="12" t="str">
        <f>"138,7825"</f>
        <v>138,7825</v>
      </c>
      <c r="N30" s="5" t="s">
        <v>30</v>
      </c>
    </row>
    <row r="31" spans="1:14">
      <c r="A31" s="34" t="s">
        <v>100</v>
      </c>
      <c r="B31" s="24" t="s">
        <v>243</v>
      </c>
      <c r="C31" s="7" t="s">
        <v>244</v>
      </c>
      <c r="D31" s="7" t="s">
        <v>123</v>
      </c>
      <c r="E31" s="7" t="str">
        <f>"0,6455"</f>
        <v>0,6455</v>
      </c>
      <c r="F31" s="7" t="s">
        <v>14</v>
      </c>
      <c r="G31" s="7" t="s">
        <v>283</v>
      </c>
      <c r="H31" s="19" t="s">
        <v>236</v>
      </c>
      <c r="I31" s="20" t="s">
        <v>245</v>
      </c>
      <c r="J31" s="20" t="s">
        <v>245</v>
      </c>
      <c r="K31" s="18"/>
      <c r="L31" s="18" t="str">
        <f>"220,0"</f>
        <v>220,0</v>
      </c>
      <c r="M31" s="18" t="str">
        <f>"142,0100"</f>
        <v>142,0100</v>
      </c>
      <c r="N31" s="7" t="s">
        <v>246</v>
      </c>
    </row>
    <row r="32" spans="1:14">
      <c r="A32" s="34" t="s">
        <v>102</v>
      </c>
      <c r="B32" s="24" t="s">
        <v>247</v>
      </c>
      <c r="C32" s="7" t="s">
        <v>248</v>
      </c>
      <c r="D32" s="7" t="s">
        <v>249</v>
      </c>
      <c r="E32" s="7" t="str">
        <f>"0,6428"</f>
        <v>0,6428</v>
      </c>
      <c r="F32" s="7" t="s">
        <v>14</v>
      </c>
      <c r="G32" s="7" t="s">
        <v>276</v>
      </c>
      <c r="H32" s="19" t="s">
        <v>67</v>
      </c>
      <c r="I32" s="19" t="s">
        <v>250</v>
      </c>
      <c r="J32" s="20" t="s">
        <v>199</v>
      </c>
      <c r="K32" s="18"/>
      <c r="L32" s="18" t="str">
        <f>"202,5"</f>
        <v>202,5</v>
      </c>
      <c r="M32" s="18" t="str">
        <f>"130,1670"</f>
        <v>130,1670</v>
      </c>
      <c r="N32" s="7" t="s">
        <v>115</v>
      </c>
    </row>
    <row r="33" spans="1:14">
      <c r="A33" s="34" t="s">
        <v>100</v>
      </c>
      <c r="B33" s="24" t="s">
        <v>251</v>
      </c>
      <c r="C33" s="7" t="s">
        <v>252</v>
      </c>
      <c r="D33" s="7" t="s">
        <v>253</v>
      </c>
      <c r="E33" s="7" t="str">
        <f>"0,6413"</f>
        <v>0,6413</v>
      </c>
      <c r="F33" s="7" t="s">
        <v>14</v>
      </c>
      <c r="G33" s="7" t="s">
        <v>276</v>
      </c>
      <c r="H33" s="20" t="s">
        <v>231</v>
      </c>
      <c r="I33" s="19" t="s">
        <v>156</v>
      </c>
      <c r="J33" s="19" t="s">
        <v>242</v>
      </c>
      <c r="K33" s="18"/>
      <c r="L33" s="18" t="str">
        <f>"215,0"</f>
        <v>215,0</v>
      </c>
      <c r="M33" s="18" t="str">
        <f>"137,8795"</f>
        <v>137,8795</v>
      </c>
      <c r="N33" s="7" t="s">
        <v>81</v>
      </c>
    </row>
    <row r="34" spans="1:14">
      <c r="A34" s="35" t="s">
        <v>102</v>
      </c>
      <c r="B34" s="23" t="s">
        <v>254</v>
      </c>
      <c r="C34" s="6" t="s">
        <v>255</v>
      </c>
      <c r="D34" s="6" t="s">
        <v>256</v>
      </c>
      <c r="E34" s="6" t="str">
        <f>"0,6583"</f>
        <v>0,6583</v>
      </c>
      <c r="F34" s="6" t="s">
        <v>14</v>
      </c>
      <c r="G34" s="6" t="s">
        <v>282</v>
      </c>
      <c r="H34" s="16" t="s">
        <v>126</v>
      </c>
      <c r="I34" s="17" t="s">
        <v>250</v>
      </c>
      <c r="J34" s="17" t="s">
        <v>250</v>
      </c>
      <c r="K34" s="15"/>
      <c r="L34" s="15" t="str">
        <f>"150,0"</f>
        <v>150,0</v>
      </c>
      <c r="M34" s="15" t="str">
        <f>"98,7450"</f>
        <v>98,7450</v>
      </c>
      <c r="N34" s="6" t="s">
        <v>257</v>
      </c>
    </row>
    <row r="35" spans="1:14">
      <c r="B35" s="8" t="s">
        <v>101</v>
      </c>
    </row>
    <row r="36" spans="1:14" ht="16">
      <c r="A36" s="44" t="s">
        <v>127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4">
      <c r="A37" s="38" t="s">
        <v>100</v>
      </c>
      <c r="B37" s="22" t="s">
        <v>258</v>
      </c>
      <c r="C37" s="5" t="s">
        <v>259</v>
      </c>
      <c r="D37" s="5" t="s">
        <v>260</v>
      </c>
      <c r="E37" s="5" t="str">
        <f>"0,6263"</f>
        <v>0,6263</v>
      </c>
      <c r="F37" s="5" t="s">
        <v>14</v>
      </c>
      <c r="G37" s="5" t="s">
        <v>275</v>
      </c>
      <c r="H37" s="13" t="s">
        <v>199</v>
      </c>
      <c r="I37" s="13" t="s">
        <v>200</v>
      </c>
      <c r="J37" s="13" t="s">
        <v>261</v>
      </c>
      <c r="K37" s="12"/>
      <c r="L37" s="12" t="str">
        <f>"255,0"</f>
        <v>255,0</v>
      </c>
      <c r="M37" s="12" t="str">
        <f>"159,7065"</f>
        <v>159,7065</v>
      </c>
      <c r="N37" s="5" t="s">
        <v>30</v>
      </c>
    </row>
    <row r="38" spans="1:14">
      <c r="A38" s="35" t="s">
        <v>102</v>
      </c>
      <c r="B38" s="23" t="s">
        <v>262</v>
      </c>
      <c r="C38" s="6" t="s">
        <v>263</v>
      </c>
      <c r="D38" s="6" t="s">
        <v>264</v>
      </c>
      <c r="E38" s="6" t="str">
        <f>"0,6134"</f>
        <v>0,6134</v>
      </c>
      <c r="F38" s="6" t="s">
        <v>14</v>
      </c>
      <c r="G38" s="6" t="s">
        <v>276</v>
      </c>
      <c r="H38" s="16" t="s">
        <v>155</v>
      </c>
      <c r="I38" s="17" t="s">
        <v>156</v>
      </c>
      <c r="J38" s="17" t="s">
        <v>156</v>
      </c>
      <c r="K38" s="15"/>
      <c r="L38" s="15" t="str">
        <f>"200,0"</f>
        <v>200,0</v>
      </c>
      <c r="M38" s="15" t="str">
        <f>"122,6800"</f>
        <v>122,6800</v>
      </c>
      <c r="N38" s="6" t="s">
        <v>265</v>
      </c>
    </row>
    <row r="39" spans="1:14">
      <c r="B39" s="8" t="s">
        <v>101</v>
      </c>
    </row>
    <row r="40" spans="1:14" ht="16">
      <c r="A40" s="44" t="s">
        <v>63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4">
      <c r="A41" s="38" t="s">
        <v>100</v>
      </c>
      <c r="B41" s="22" t="s">
        <v>266</v>
      </c>
      <c r="C41" s="5" t="s">
        <v>267</v>
      </c>
      <c r="D41" s="5" t="s">
        <v>268</v>
      </c>
      <c r="E41" s="5" t="str">
        <f>"0,5887"</f>
        <v>0,5887</v>
      </c>
      <c r="F41" s="5" t="s">
        <v>14</v>
      </c>
      <c r="G41" s="39" t="s">
        <v>49</v>
      </c>
      <c r="H41" s="14" t="s">
        <v>74</v>
      </c>
      <c r="I41" s="13" t="s">
        <v>74</v>
      </c>
      <c r="J41" s="14" t="s">
        <v>242</v>
      </c>
      <c r="K41" s="12"/>
      <c r="L41" s="12" t="str">
        <f>"192,5"</f>
        <v>192,5</v>
      </c>
      <c r="M41" s="12" t="str">
        <f>"113,3247"</f>
        <v>113,3247</v>
      </c>
      <c r="N41" s="5" t="s">
        <v>51</v>
      </c>
    </row>
    <row r="42" spans="1:14">
      <c r="A42" s="34" t="s">
        <v>100</v>
      </c>
      <c r="B42" s="24" t="s">
        <v>79</v>
      </c>
      <c r="C42" s="7" t="s">
        <v>80</v>
      </c>
      <c r="D42" s="7" t="s">
        <v>66</v>
      </c>
      <c r="E42" s="7" t="str">
        <f>"0,5968"</f>
        <v>0,5968</v>
      </c>
      <c r="F42" s="7" t="s">
        <v>14</v>
      </c>
      <c r="G42" s="7" t="s">
        <v>275</v>
      </c>
      <c r="H42" s="19" t="s">
        <v>245</v>
      </c>
      <c r="I42" s="19" t="s">
        <v>200</v>
      </c>
      <c r="J42" s="19" t="s">
        <v>261</v>
      </c>
      <c r="K42" s="18"/>
      <c r="L42" s="18" t="str">
        <f>"255,0"</f>
        <v>255,0</v>
      </c>
      <c r="M42" s="18" t="str">
        <f>"152,1840"</f>
        <v>152,1840</v>
      </c>
      <c r="N42" s="7" t="s">
        <v>81</v>
      </c>
    </row>
    <row r="43" spans="1:14">
      <c r="A43" s="35" t="s">
        <v>102</v>
      </c>
      <c r="B43" s="23" t="s">
        <v>269</v>
      </c>
      <c r="C43" s="6" t="s">
        <v>270</v>
      </c>
      <c r="D43" s="6" t="s">
        <v>271</v>
      </c>
      <c r="E43" s="6" t="str">
        <f>"0,5948"</f>
        <v>0,5948</v>
      </c>
      <c r="F43" s="6" t="s">
        <v>14</v>
      </c>
      <c r="G43" s="6" t="s">
        <v>275</v>
      </c>
      <c r="H43" s="16" t="s">
        <v>236</v>
      </c>
      <c r="I43" s="16" t="s">
        <v>272</v>
      </c>
      <c r="J43" s="16" t="s">
        <v>273</v>
      </c>
      <c r="K43" s="15"/>
      <c r="L43" s="15" t="str">
        <f>"242,5"</f>
        <v>242,5</v>
      </c>
      <c r="M43" s="15" t="str">
        <f>"144,2390"</f>
        <v>144,2390</v>
      </c>
      <c r="N43" s="6" t="s">
        <v>81</v>
      </c>
    </row>
    <row r="44" spans="1:14">
      <c r="B44" s="8" t="s">
        <v>101</v>
      </c>
    </row>
  </sheetData>
  <mergeCells count="21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6:K36"/>
    <mergeCell ref="A40:K40"/>
    <mergeCell ref="B3:B4"/>
    <mergeCell ref="A9:K9"/>
    <mergeCell ref="A14:K14"/>
    <mergeCell ref="A17:K17"/>
    <mergeCell ref="A20:K20"/>
    <mergeCell ref="A25:K25"/>
    <mergeCell ref="A29:K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abSelected="1" topLeftCell="A4" workbookViewId="0">
      <selection activeCell="B32" sqref="B32"/>
    </sheetView>
  </sheetViews>
  <sheetFormatPr baseColWidth="10" defaultColWidth="9.1640625" defaultRowHeight="13"/>
  <cols>
    <col min="1" max="1" width="7.5" style="33" bestFit="1" customWidth="1"/>
    <col min="2" max="2" width="19.1640625" style="8" bestFit="1" customWidth="1"/>
    <col min="3" max="3" width="26.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8.5" style="3" bestFit="1" customWidth="1"/>
    <col min="8" max="11" width="5.5" style="2" customWidth="1"/>
    <col min="12" max="12" width="10.5" style="2" bestFit="1" customWidth="1"/>
    <col min="13" max="13" width="8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46" t="s">
        <v>280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72" t="s">
        <v>105</v>
      </c>
      <c r="B3" s="66" t="s">
        <v>0</v>
      </c>
      <c r="C3" s="73" t="s">
        <v>5</v>
      </c>
      <c r="D3" s="73" t="s">
        <v>7</v>
      </c>
      <c r="E3" s="68" t="s">
        <v>8</v>
      </c>
      <c r="F3" s="68" t="s">
        <v>3</v>
      </c>
      <c r="G3" s="74" t="s">
        <v>6</v>
      </c>
      <c r="H3" s="67" t="s">
        <v>143</v>
      </c>
      <c r="I3" s="68"/>
      <c r="J3" s="68"/>
      <c r="K3" s="74"/>
      <c r="L3" s="67" t="s">
        <v>99</v>
      </c>
      <c r="M3" s="68" t="s">
        <v>2</v>
      </c>
      <c r="N3" s="69" t="s">
        <v>1</v>
      </c>
    </row>
    <row r="4" spans="1:14" s="1" customFormat="1" ht="21" customHeight="1" thickBot="1">
      <c r="A4" s="54"/>
      <c r="B4" s="61"/>
      <c r="C4" s="56"/>
      <c r="D4" s="56"/>
      <c r="E4" s="56"/>
      <c r="F4" s="56"/>
      <c r="G4" s="59"/>
      <c r="H4" s="25">
        <v>1</v>
      </c>
      <c r="I4" s="26">
        <v>2</v>
      </c>
      <c r="J4" s="26">
        <v>3</v>
      </c>
      <c r="K4" s="27" t="s">
        <v>4</v>
      </c>
      <c r="L4" s="63"/>
      <c r="M4" s="56"/>
      <c r="N4" s="65"/>
    </row>
    <row r="5" spans="1:14" ht="16">
      <c r="A5" s="70" t="s">
        <v>24</v>
      </c>
      <c r="B5" s="70"/>
      <c r="C5" s="71"/>
      <c r="D5" s="71"/>
      <c r="E5" s="71"/>
      <c r="F5" s="71"/>
      <c r="G5" s="71"/>
      <c r="H5" s="71"/>
      <c r="I5" s="71"/>
      <c r="J5" s="71"/>
      <c r="K5" s="71"/>
    </row>
    <row r="6" spans="1:14">
      <c r="A6" s="32" t="s">
        <v>100</v>
      </c>
      <c r="B6" s="21" t="s">
        <v>144</v>
      </c>
      <c r="C6" s="4" t="s">
        <v>145</v>
      </c>
      <c r="D6" s="4" t="s">
        <v>146</v>
      </c>
      <c r="E6" s="4" t="str">
        <f>"1,0740"</f>
        <v>1,0740</v>
      </c>
      <c r="F6" s="4" t="s">
        <v>14</v>
      </c>
      <c r="G6" s="4" t="s">
        <v>275</v>
      </c>
      <c r="H6" s="10" t="s">
        <v>147</v>
      </c>
      <c r="I6" s="10" t="s">
        <v>148</v>
      </c>
      <c r="J6" s="10" t="s">
        <v>78</v>
      </c>
      <c r="K6" s="9"/>
      <c r="L6" s="9" t="str">
        <f>"120,0"</f>
        <v>120,0</v>
      </c>
      <c r="M6" s="9" t="str">
        <f>"128,8800"</f>
        <v>128,8800</v>
      </c>
      <c r="N6" s="4" t="s">
        <v>81</v>
      </c>
    </row>
    <row r="7" spans="1:14">
      <c r="B7" s="8" t="s">
        <v>101</v>
      </c>
    </row>
    <row r="8" spans="1:14" ht="16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4">
      <c r="A9" s="32" t="s">
        <v>100</v>
      </c>
      <c r="B9" s="21" t="s">
        <v>20</v>
      </c>
      <c r="C9" s="4" t="s">
        <v>21</v>
      </c>
      <c r="D9" s="4" t="s">
        <v>22</v>
      </c>
      <c r="E9" s="4" t="str">
        <f>"0,9152"</f>
        <v>0,9152</v>
      </c>
      <c r="F9" s="4" t="s">
        <v>14</v>
      </c>
      <c r="G9" s="31" t="s">
        <v>275</v>
      </c>
      <c r="H9" s="11" t="s">
        <v>149</v>
      </c>
      <c r="I9" s="10" t="s">
        <v>149</v>
      </c>
      <c r="J9" s="11" t="s">
        <v>78</v>
      </c>
      <c r="K9" s="9"/>
      <c r="L9" s="9" t="str">
        <f>"110,0"</f>
        <v>110,0</v>
      </c>
      <c r="M9" s="9" t="str">
        <f>"100,6720"</f>
        <v>100,6720</v>
      </c>
      <c r="N9" s="4" t="s">
        <v>18</v>
      </c>
    </row>
    <row r="10" spans="1:14">
      <c r="B10" s="8" t="s">
        <v>101</v>
      </c>
    </row>
    <row r="11" spans="1:14" ht="16">
      <c r="A11" s="44" t="s">
        <v>150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4">
      <c r="A12" s="32" t="s">
        <v>100</v>
      </c>
      <c r="B12" s="21" t="s">
        <v>151</v>
      </c>
      <c r="C12" s="4" t="s">
        <v>152</v>
      </c>
      <c r="D12" s="4" t="s">
        <v>153</v>
      </c>
      <c r="E12" s="4" t="str">
        <f>"0,8529"</f>
        <v>0,8529</v>
      </c>
      <c r="F12" s="4" t="s">
        <v>14</v>
      </c>
      <c r="G12" s="4" t="s">
        <v>276</v>
      </c>
      <c r="H12" s="11" t="s">
        <v>44</v>
      </c>
      <c r="I12" s="10" t="s">
        <v>44</v>
      </c>
      <c r="J12" s="10" t="s">
        <v>137</v>
      </c>
      <c r="K12" s="9"/>
      <c r="L12" s="9" t="str">
        <f>"155,0"</f>
        <v>155,0</v>
      </c>
      <c r="M12" s="9" t="str">
        <f>"132,1995"</f>
        <v>132,1995</v>
      </c>
      <c r="N12" s="4" t="s">
        <v>154</v>
      </c>
    </row>
    <row r="13" spans="1:14">
      <c r="B13" s="8" t="s">
        <v>101</v>
      </c>
    </row>
    <row r="14" spans="1:14" ht="16">
      <c r="A14" s="44" t="s">
        <v>31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4">
      <c r="A15" s="38" t="s">
        <v>100</v>
      </c>
      <c r="B15" s="22" t="s">
        <v>32</v>
      </c>
      <c r="C15" s="5" t="s">
        <v>33</v>
      </c>
      <c r="D15" s="5" t="s">
        <v>34</v>
      </c>
      <c r="E15" s="5" t="str">
        <f>"0,7552"</f>
        <v>0,7552</v>
      </c>
      <c r="F15" s="5" t="s">
        <v>14</v>
      </c>
      <c r="G15" s="5" t="s">
        <v>275</v>
      </c>
      <c r="H15" s="13" t="s">
        <v>44</v>
      </c>
      <c r="I15" s="14" t="s">
        <v>126</v>
      </c>
      <c r="J15" s="14" t="s">
        <v>126</v>
      </c>
      <c r="K15" s="12"/>
      <c r="L15" s="12" t="str">
        <f>"140,0"</f>
        <v>140,0</v>
      </c>
      <c r="M15" s="12" t="str">
        <f>"105,7280"</f>
        <v>105,7280</v>
      </c>
      <c r="N15" s="5" t="s">
        <v>30</v>
      </c>
    </row>
    <row r="16" spans="1:14">
      <c r="A16" s="35" t="s">
        <v>100</v>
      </c>
      <c r="B16" s="23" t="s">
        <v>38</v>
      </c>
      <c r="C16" s="6" t="s">
        <v>39</v>
      </c>
      <c r="D16" s="6" t="s">
        <v>40</v>
      </c>
      <c r="E16" s="6" t="str">
        <f>"0,7337"</f>
        <v>0,7337</v>
      </c>
      <c r="F16" s="6" t="s">
        <v>14</v>
      </c>
      <c r="G16" s="6" t="s">
        <v>41</v>
      </c>
      <c r="H16" s="16" t="s">
        <v>68</v>
      </c>
      <c r="I16" s="16" t="s">
        <v>155</v>
      </c>
      <c r="J16" s="17" t="s">
        <v>156</v>
      </c>
      <c r="K16" s="15"/>
      <c r="L16" s="15" t="str">
        <f>"200,0"</f>
        <v>200,0</v>
      </c>
      <c r="M16" s="15" t="str">
        <f>"146,7400"</f>
        <v>146,7400</v>
      </c>
      <c r="N16" s="6" t="s">
        <v>18</v>
      </c>
    </row>
    <row r="17" spans="1:14">
      <c r="B17" s="8" t="s">
        <v>101</v>
      </c>
    </row>
    <row r="18" spans="1:14" ht="16">
      <c r="A18" s="44" t="s">
        <v>45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4">
      <c r="A19" s="38" t="s">
        <v>100</v>
      </c>
      <c r="B19" s="22" t="s">
        <v>157</v>
      </c>
      <c r="C19" s="5" t="s">
        <v>158</v>
      </c>
      <c r="D19" s="5" t="s">
        <v>159</v>
      </c>
      <c r="E19" s="5" t="str">
        <f>"0,6882"</f>
        <v>0,6882</v>
      </c>
      <c r="F19" s="5" t="s">
        <v>14</v>
      </c>
      <c r="G19" s="5" t="s">
        <v>49</v>
      </c>
      <c r="H19" s="13" t="s">
        <v>44</v>
      </c>
      <c r="I19" s="13" t="s">
        <v>160</v>
      </c>
      <c r="J19" s="13" t="s">
        <v>161</v>
      </c>
      <c r="K19" s="14" t="s">
        <v>162</v>
      </c>
      <c r="L19" s="12" t="str">
        <f>"165,0"</f>
        <v>165,0</v>
      </c>
      <c r="M19" s="12" t="str">
        <f>"113,5530"</f>
        <v>113,5530</v>
      </c>
      <c r="N19" s="5" t="s">
        <v>51</v>
      </c>
    </row>
    <row r="20" spans="1:14">
      <c r="A20" s="34" t="s">
        <v>102</v>
      </c>
      <c r="B20" s="24" t="s">
        <v>46</v>
      </c>
      <c r="C20" s="7" t="s">
        <v>47</v>
      </c>
      <c r="D20" s="7" t="s">
        <v>48</v>
      </c>
      <c r="E20" s="7" t="str">
        <f>"0,6888"</f>
        <v>0,6888</v>
      </c>
      <c r="F20" s="7" t="s">
        <v>14</v>
      </c>
      <c r="G20" s="7" t="s">
        <v>49</v>
      </c>
      <c r="H20" s="19" t="s">
        <v>124</v>
      </c>
      <c r="I20" s="19" t="s">
        <v>125</v>
      </c>
      <c r="J20" s="19" t="s">
        <v>126</v>
      </c>
      <c r="K20" s="18"/>
      <c r="L20" s="18" t="str">
        <f>"150,0"</f>
        <v>150,0</v>
      </c>
      <c r="M20" s="18" t="str">
        <f>"103,3200"</f>
        <v>103,3200</v>
      </c>
      <c r="N20" s="7" t="s">
        <v>51</v>
      </c>
    </row>
    <row r="21" spans="1:14">
      <c r="A21" s="35" t="s">
        <v>100</v>
      </c>
      <c r="B21" s="23" t="s">
        <v>52</v>
      </c>
      <c r="C21" s="6" t="s">
        <v>53</v>
      </c>
      <c r="D21" s="6" t="s">
        <v>54</v>
      </c>
      <c r="E21" s="6" t="str">
        <f>"0,6876"</f>
        <v>0,6876</v>
      </c>
      <c r="F21" s="6" t="s">
        <v>14</v>
      </c>
      <c r="G21" s="6" t="s">
        <v>275</v>
      </c>
      <c r="H21" s="17" t="s">
        <v>124</v>
      </c>
      <c r="I21" s="16" t="s">
        <v>124</v>
      </c>
      <c r="J21" s="16" t="s">
        <v>125</v>
      </c>
      <c r="K21" s="15"/>
      <c r="L21" s="15" t="str">
        <f>"145,0"</f>
        <v>145,0</v>
      </c>
      <c r="M21" s="15" t="str">
        <f>"99,7020"</f>
        <v>99,7020</v>
      </c>
      <c r="N21" s="6" t="s">
        <v>30</v>
      </c>
    </row>
    <row r="22" spans="1:14">
      <c r="B22" s="8" t="s">
        <v>101</v>
      </c>
    </row>
    <row r="23" spans="1:14" ht="16">
      <c r="A23" s="44" t="s">
        <v>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1:14">
      <c r="A24" s="32" t="s">
        <v>100</v>
      </c>
      <c r="B24" s="21" t="s">
        <v>163</v>
      </c>
      <c r="C24" s="4" t="s">
        <v>164</v>
      </c>
      <c r="D24" s="4" t="s">
        <v>165</v>
      </c>
      <c r="E24" s="4" t="str">
        <f>"0,6463"</f>
        <v>0,6463</v>
      </c>
      <c r="F24" s="4" t="s">
        <v>14</v>
      </c>
      <c r="G24" s="4" t="s">
        <v>166</v>
      </c>
      <c r="H24" s="10" t="s">
        <v>167</v>
      </c>
      <c r="I24" s="10" t="s">
        <v>168</v>
      </c>
      <c r="J24" s="9"/>
      <c r="K24" s="9"/>
      <c r="L24" s="9" t="str">
        <f>"330,0"</f>
        <v>330,0</v>
      </c>
      <c r="M24" s="9" t="str">
        <f>"213,2790"</f>
        <v>213,2790</v>
      </c>
      <c r="N24" s="4" t="s">
        <v>18</v>
      </c>
    </row>
    <row r="25" spans="1:14">
      <c r="B25" s="8" t="s">
        <v>101</v>
      </c>
    </row>
    <row r="26" spans="1:14" ht="16">
      <c r="A26" s="44" t="s">
        <v>127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4">
      <c r="A27" s="38" t="s">
        <v>100</v>
      </c>
      <c r="B27" s="22" t="s">
        <v>169</v>
      </c>
      <c r="C27" s="5" t="s">
        <v>170</v>
      </c>
      <c r="D27" s="5" t="s">
        <v>171</v>
      </c>
      <c r="E27" s="5" t="str">
        <f>"0,6101"</f>
        <v>0,6101</v>
      </c>
      <c r="F27" s="5" t="s">
        <v>14</v>
      </c>
      <c r="G27" s="5" t="s">
        <v>49</v>
      </c>
      <c r="H27" s="13" t="s">
        <v>172</v>
      </c>
      <c r="I27" s="14" t="s">
        <v>173</v>
      </c>
      <c r="J27" s="14" t="s">
        <v>174</v>
      </c>
      <c r="K27" s="12"/>
      <c r="L27" s="12" t="str">
        <f>"325,0"</f>
        <v>325,0</v>
      </c>
      <c r="M27" s="12" t="str">
        <f>"198,2825"</f>
        <v>198,2825</v>
      </c>
      <c r="N27" s="5" t="s">
        <v>51</v>
      </c>
    </row>
    <row r="28" spans="1:14">
      <c r="A28" s="35" t="s">
        <v>104</v>
      </c>
      <c r="B28" s="23" t="s">
        <v>175</v>
      </c>
      <c r="C28" s="6" t="s">
        <v>176</v>
      </c>
      <c r="D28" s="6" t="s">
        <v>177</v>
      </c>
      <c r="E28" s="6" t="str">
        <f>"0,6144"</f>
        <v>0,6144</v>
      </c>
      <c r="F28" s="6" t="s">
        <v>14</v>
      </c>
      <c r="G28" s="6" t="s">
        <v>275</v>
      </c>
      <c r="H28" s="17" t="s">
        <v>178</v>
      </c>
      <c r="I28" s="17" t="s">
        <v>179</v>
      </c>
      <c r="J28" s="17" t="s">
        <v>179</v>
      </c>
      <c r="K28" s="15"/>
      <c r="L28" s="42">
        <v>0</v>
      </c>
      <c r="M28" s="43">
        <v>0</v>
      </c>
      <c r="N28" s="6" t="s">
        <v>180</v>
      </c>
    </row>
    <row r="29" spans="1:14">
      <c r="B29" s="8" t="s">
        <v>101</v>
      </c>
    </row>
    <row r="30" spans="1:14" ht="16">
      <c r="A30" s="44" t="s">
        <v>63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4">
      <c r="A31" s="38" t="s">
        <v>100</v>
      </c>
      <c r="B31" s="22" t="s">
        <v>181</v>
      </c>
      <c r="C31" s="5" t="s">
        <v>182</v>
      </c>
      <c r="D31" s="5" t="s">
        <v>183</v>
      </c>
      <c r="E31" s="5" t="str">
        <f>"0,5994"</f>
        <v>0,5994</v>
      </c>
      <c r="F31" s="5" t="s">
        <v>14</v>
      </c>
      <c r="G31" s="39" t="s">
        <v>49</v>
      </c>
      <c r="H31" s="13" t="s">
        <v>87</v>
      </c>
      <c r="I31" s="13" t="s">
        <v>90</v>
      </c>
      <c r="J31" s="14" t="s">
        <v>184</v>
      </c>
      <c r="K31" s="12"/>
      <c r="L31" s="12" t="str">
        <f>"280,0"</f>
        <v>280,0</v>
      </c>
      <c r="M31" s="12" t="str">
        <f>"167,8320"</f>
        <v>167,8320</v>
      </c>
      <c r="N31" s="5" t="s">
        <v>51</v>
      </c>
    </row>
    <row r="32" spans="1:14">
      <c r="A32" s="34" t="s">
        <v>100</v>
      </c>
      <c r="B32" s="24" t="s">
        <v>185</v>
      </c>
      <c r="C32" s="7" t="s">
        <v>186</v>
      </c>
      <c r="D32" s="7" t="s">
        <v>134</v>
      </c>
      <c r="E32" s="7" t="str">
        <f>"0,5932"</f>
        <v>0,5932</v>
      </c>
      <c r="F32" s="7" t="s">
        <v>14</v>
      </c>
      <c r="G32" s="7" t="s">
        <v>282</v>
      </c>
      <c r="H32" s="19" t="s">
        <v>187</v>
      </c>
      <c r="I32" s="19" t="s">
        <v>188</v>
      </c>
      <c r="J32" s="19" t="s">
        <v>189</v>
      </c>
      <c r="K32" s="18"/>
      <c r="L32" s="18" t="str">
        <f>"352,5"</f>
        <v>352,5</v>
      </c>
      <c r="M32" s="18" t="str">
        <f>"209,1030"</f>
        <v>209,1030</v>
      </c>
      <c r="N32" s="7" t="s">
        <v>190</v>
      </c>
    </row>
    <row r="33" spans="1:14">
      <c r="A33" s="35" t="s">
        <v>102</v>
      </c>
      <c r="B33" s="23" t="s">
        <v>191</v>
      </c>
      <c r="C33" s="6" t="s">
        <v>192</v>
      </c>
      <c r="D33" s="6" t="s">
        <v>193</v>
      </c>
      <c r="E33" s="6" t="str">
        <f>"0,5988"</f>
        <v>0,5988</v>
      </c>
      <c r="F33" s="6" t="s">
        <v>14</v>
      </c>
      <c r="G33" s="6" t="s">
        <v>276</v>
      </c>
      <c r="H33" s="16" t="s">
        <v>87</v>
      </c>
      <c r="I33" s="16" t="s">
        <v>90</v>
      </c>
      <c r="J33" s="17" t="s">
        <v>194</v>
      </c>
      <c r="K33" s="15"/>
      <c r="L33" s="15" t="str">
        <f>"280,0"</f>
        <v>280,0</v>
      </c>
      <c r="M33" s="15" t="str">
        <f>"167,6640"</f>
        <v>167,6640</v>
      </c>
      <c r="N33" s="6" t="s">
        <v>18</v>
      </c>
    </row>
    <row r="34" spans="1:14">
      <c r="B34" s="8" t="s">
        <v>101</v>
      </c>
    </row>
    <row r="35" spans="1:14" ht="16">
      <c r="A35" s="44" t="s">
        <v>82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4">
      <c r="A36" s="38" t="s">
        <v>100</v>
      </c>
      <c r="B36" s="22" t="s">
        <v>91</v>
      </c>
      <c r="C36" s="5" t="s">
        <v>92</v>
      </c>
      <c r="D36" s="5" t="s">
        <v>93</v>
      </c>
      <c r="E36" s="5" t="str">
        <f>"0,5716"</f>
        <v>0,5716</v>
      </c>
      <c r="F36" s="5" t="s">
        <v>14</v>
      </c>
      <c r="G36" s="5" t="s">
        <v>41</v>
      </c>
      <c r="H36" s="13" t="s">
        <v>179</v>
      </c>
      <c r="I36" s="13" t="s">
        <v>61</v>
      </c>
      <c r="J36" s="14" t="s">
        <v>195</v>
      </c>
      <c r="K36" s="12"/>
      <c r="L36" s="12" t="str">
        <f>"265,0"</f>
        <v>265,0</v>
      </c>
      <c r="M36" s="12" t="str">
        <f>"151,4740"</f>
        <v>151,4740</v>
      </c>
      <c r="N36" s="5" t="s">
        <v>18</v>
      </c>
    </row>
    <row r="37" spans="1:14">
      <c r="A37" s="35" t="s">
        <v>102</v>
      </c>
      <c r="B37" s="23" t="s">
        <v>196</v>
      </c>
      <c r="C37" s="6" t="s">
        <v>197</v>
      </c>
      <c r="D37" s="6" t="s">
        <v>198</v>
      </c>
      <c r="E37" s="6" t="str">
        <f>"0,5808"</f>
        <v>0,5808</v>
      </c>
      <c r="F37" s="6" t="s">
        <v>14</v>
      </c>
      <c r="G37" s="30" t="s">
        <v>281</v>
      </c>
      <c r="H37" s="16" t="s">
        <v>199</v>
      </c>
      <c r="I37" s="17" t="s">
        <v>178</v>
      </c>
      <c r="J37" s="16" t="s">
        <v>200</v>
      </c>
      <c r="K37" s="15"/>
      <c r="L37" s="15" t="str">
        <f>"245,0"</f>
        <v>245,0</v>
      </c>
      <c r="M37" s="15" t="str">
        <f>"142,2960"</f>
        <v>142,2960</v>
      </c>
      <c r="N37" s="6" t="s">
        <v>81</v>
      </c>
    </row>
    <row r="38" spans="1:14">
      <c r="B38" s="8" t="s">
        <v>101</v>
      </c>
    </row>
  </sheetData>
  <mergeCells count="21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0:K30"/>
    <mergeCell ref="A35:K35"/>
    <mergeCell ref="B3:B4"/>
    <mergeCell ref="A8:K8"/>
    <mergeCell ref="A11:K11"/>
    <mergeCell ref="A14:K14"/>
    <mergeCell ref="A18:K18"/>
    <mergeCell ref="A23:K23"/>
    <mergeCell ref="A26:K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722-54CA-D042-A011-FBF37D64ECE1}">
  <dimension ref="A1:B10"/>
  <sheetViews>
    <sheetView workbookViewId="0">
      <selection sqref="A1:B2"/>
    </sheetView>
  </sheetViews>
  <sheetFormatPr baseColWidth="10" defaultRowHeight="13"/>
  <cols>
    <col min="1" max="1" width="28.5" bestFit="1" customWidth="1"/>
    <col min="2" max="2" width="31.5" customWidth="1"/>
  </cols>
  <sheetData>
    <row r="1" spans="1:2" ht="25" customHeight="1">
      <c r="A1" s="75" t="s">
        <v>284</v>
      </c>
      <c r="B1" s="76"/>
    </row>
    <row r="2" spans="1:2" ht="24" customHeight="1">
      <c r="A2" s="77"/>
      <c r="B2" s="78"/>
    </row>
    <row r="4" spans="1:2">
      <c r="A4" t="s">
        <v>285</v>
      </c>
      <c r="B4" t="s">
        <v>289</v>
      </c>
    </row>
    <row r="5" spans="1:2">
      <c r="A5" t="s">
        <v>286</v>
      </c>
      <c r="B5" t="s">
        <v>289</v>
      </c>
    </row>
    <row r="6" spans="1:2">
      <c r="A6" t="s">
        <v>287</v>
      </c>
      <c r="B6" t="s">
        <v>290</v>
      </c>
    </row>
    <row r="7" spans="1:2">
      <c r="A7" t="s">
        <v>288</v>
      </c>
      <c r="B7" t="s">
        <v>289</v>
      </c>
    </row>
    <row r="8" spans="1:2">
      <c r="B8" t="s">
        <v>291</v>
      </c>
    </row>
    <row r="9" spans="1:2">
      <c r="B9" t="s">
        <v>292</v>
      </c>
    </row>
    <row r="10" spans="1:2">
      <c r="B10" t="s">
        <v>293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2020-07-14T18:29:02Z</dcterms:modified>
</cp:coreProperties>
</file>